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745" windowHeight="490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'Лист1'!$A$1:$N$77</definedName>
  </definedNames>
  <calcPr fullCalcOnLoad="1"/>
</workbook>
</file>

<file path=xl/sharedStrings.xml><?xml version="1.0" encoding="utf-8"?>
<sst xmlns="http://schemas.openxmlformats.org/spreadsheetml/2006/main" count="116" uniqueCount="94">
  <si>
    <t>Вид палива</t>
  </si>
  <si>
    <t>Вартість отриманого тепла, грн.</t>
  </si>
  <si>
    <t>К-сть палива на добу, кг</t>
  </si>
  <si>
    <t>Кам’яне вугілля</t>
  </si>
  <si>
    <t>Дизельне паливо</t>
  </si>
  <si>
    <t>Ціна палива за 1 кг, грн.</t>
  </si>
  <si>
    <t>за місяць</t>
  </si>
  <si>
    <t>за 6 міс</t>
  </si>
  <si>
    <t>за добу</t>
  </si>
  <si>
    <t>ККД, %</t>
  </si>
  <si>
    <t>кВт*год/ кг</t>
  </si>
  <si>
    <t>Природний газ (для населення), м.куб</t>
  </si>
  <si>
    <t>Природний газ (для підприємств), м.куб.</t>
  </si>
  <si>
    <t>Електроенергія, кВт</t>
  </si>
  <si>
    <t>Вартість 1 ГКал, грн</t>
  </si>
  <si>
    <t>Пелети з жерухи соняшника</t>
  </si>
  <si>
    <t xml:space="preserve">Пелети з жерухи соняшника </t>
  </si>
  <si>
    <t>Пелети з соломи</t>
  </si>
  <si>
    <t>опилки</t>
  </si>
  <si>
    <t>дата</t>
  </si>
  <si>
    <t>относ влаж</t>
  </si>
  <si>
    <t>топливо</t>
  </si>
  <si>
    <t xml:space="preserve">мощность </t>
  </si>
  <si>
    <t>кпд (прямой)</t>
  </si>
  <si>
    <t>кпд (обратный)</t>
  </si>
  <si>
    <t>дрова</t>
  </si>
  <si>
    <t>Влаж</t>
  </si>
  <si>
    <t>а</t>
  </si>
  <si>
    <t>б</t>
  </si>
  <si>
    <t>сиона</t>
  </si>
  <si>
    <t>1)</t>
  </si>
  <si>
    <t>другие</t>
  </si>
  <si>
    <t>2)</t>
  </si>
  <si>
    <t>Аппроксимація</t>
  </si>
  <si>
    <t>Інформація отримана з джерела:</t>
  </si>
  <si>
    <t>Джерело</t>
  </si>
  <si>
    <t>500 … 5000</t>
  </si>
  <si>
    <t>10 … 120</t>
  </si>
  <si>
    <t>2000 … 7500</t>
  </si>
  <si>
    <t>120 … 600</t>
  </si>
  <si>
    <t>1000 … 2000</t>
  </si>
  <si>
    <t>Залежність відносної вологості від абсолютної*</t>
  </si>
  <si>
    <t>* більшість електронних приладів вимірюють абсолютну вологість</t>
  </si>
  <si>
    <t>Вологість, %</t>
  </si>
  <si>
    <t>Теплотворна здатність</t>
  </si>
  <si>
    <t>Теплопродуктивність котельної установки, МВт</t>
  </si>
  <si>
    <t>Норми викидів, мг/м.куб.</t>
  </si>
  <si>
    <t>Від 0,1 до 0,3 включно</t>
  </si>
  <si>
    <t>твердих часток</t>
  </si>
  <si>
    <t>оксиду вуглецю (CO)</t>
  </si>
  <si>
    <t>не визначено</t>
  </si>
  <si>
    <t>Від 0,3 до 2</t>
  </si>
  <si>
    <t>Від 2 до 25</t>
  </si>
  <si>
    <t>Від 25 до 50</t>
  </si>
  <si>
    <t>Від 50 до 100</t>
  </si>
  <si>
    <t>Абсолют. вологість, %</t>
  </si>
  <si>
    <t>Відносна. вологість, %</t>
  </si>
  <si>
    <t>Щепа в Інших котлах</t>
  </si>
  <si>
    <t>Тирса в Інших котлах</t>
  </si>
  <si>
    <t>Дрова в Інших котлах</t>
  </si>
  <si>
    <t>Пелети в Інших котлах</t>
  </si>
  <si>
    <t>Інші котли</t>
  </si>
  <si>
    <t>Теплота згорання палива</t>
  </si>
  <si>
    <r>
      <t>оксиду азоту (NO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</si>
  <si>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r>
      <t>диоксиду сірки (SO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</si>
  <si>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t>ккал/ кг</t>
  </si>
  <si>
    <t>№</t>
  </si>
  <si>
    <t>ККД інших котлів</t>
  </si>
  <si>
    <t xml:space="preserve">Котли вибирай раціонально! </t>
  </si>
  <si>
    <r>
      <t xml:space="preserve">Екологія  </t>
    </r>
    <r>
      <rPr>
        <b/>
        <sz val="12"/>
        <color indexed="56"/>
        <rFont val="Arial Cyr"/>
        <family val="0"/>
      </rPr>
      <t xml:space="preserve">     </t>
    </r>
    <r>
      <rPr>
        <sz val="10"/>
        <color indexed="56"/>
        <rFont val="Arial Cyr"/>
        <family val="0"/>
      </rPr>
      <t xml:space="preserve"> </t>
    </r>
    <r>
      <rPr>
        <sz val="12"/>
        <color indexed="56"/>
        <rFont val="Arial Cyr"/>
        <family val="0"/>
      </rPr>
      <t>СО  мг/м</t>
    </r>
    <r>
      <rPr>
        <vertAlign val="superscript"/>
        <sz val="12"/>
        <color indexed="56"/>
        <rFont val="Arial Cyr"/>
        <family val="0"/>
      </rPr>
      <t>3</t>
    </r>
  </si>
  <si>
    <t>Норми викидів в атмосферу для котельних установок, введених в експлуатацію після 01.07.2006р.</t>
  </si>
  <si>
    <t>Деревина в лабораторних умовах</t>
  </si>
  <si>
    <t>Необхідно тепла на місяць, Гкал</t>
  </si>
  <si>
    <t>Расчет кол-ва тепла</t>
  </si>
  <si>
    <t>q</t>
  </si>
  <si>
    <t>a</t>
  </si>
  <si>
    <t>tр.о.</t>
  </si>
  <si>
    <t>q - удельная отопительная характеристика здания при tp.o = – 30° C, ккал/(м3х ч х°С);</t>
  </si>
  <si>
    <t>a - поправочный коэффициент, учитывающий изменения расчетной наружной температуры</t>
  </si>
  <si>
    <t>Розрахункова внутрішня температура в приміщенні, град. С</t>
  </si>
  <si>
    <t>Середня температура зовнішнього повітря за період, град. С</t>
  </si>
  <si>
    <r>
      <t>Введи об'єм нагріву,  м</t>
    </r>
    <r>
      <rPr>
        <b/>
        <i/>
        <vertAlign val="superscript"/>
        <sz val="14"/>
        <color indexed="9"/>
        <rFont val="Arial Cyr"/>
        <family val="0"/>
      </rPr>
      <t>3</t>
    </r>
    <r>
      <rPr>
        <b/>
        <i/>
        <sz val="14"/>
        <rFont val="Arial Cyr"/>
        <family val="0"/>
      </rPr>
      <t xml:space="preserve"> </t>
    </r>
  </si>
  <si>
    <t>Пікова потужність на зовнішню температуру повітря -25 град. С</t>
  </si>
  <si>
    <t>Поля для редагування даних</t>
  </si>
  <si>
    <t>Необхідна потужність, КВт</t>
  </si>
  <si>
    <t xml:space="preserve">  ТОВ "ЕКО-ЮЕЙ", м.Київ</t>
  </si>
  <si>
    <t>тел. 099-233-65-76, www.eco-ua.com.ua</t>
  </si>
  <si>
    <t xml:space="preserve">Щепа в котлах ТОВ  "ЕКО-ЮЕЙ" </t>
  </si>
  <si>
    <t xml:space="preserve">Тирса в котлах ТОВ  "ЕКО-ЮЕЙ" </t>
  </si>
  <si>
    <t xml:space="preserve">Дрова в котлах ТОВ  "ЕКО-ЮЕЙ" </t>
  </si>
  <si>
    <t xml:space="preserve">Пелети в котлах ТОВ  "ЕКО-ЮЕЙ" </t>
  </si>
  <si>
    <t>Котли ТОВ "ЕКО-ЮЕЙ" (відносно протоколів випробувань 2015- 2016 рр.)</t>
  </si>
  <si>
    <r>
      <t xml:space="preserve">В котлах ТОВ  "ЕКО-ЮЕЙ" </t>
    </r>
    <r>
      <rPr>
        <sz val="13"/>
        <rFont val="Arial Cyr"/>
        <family val="0"/>
      </rPr>
      <t xml:space="preserve"> використовуються будь-які види органічного палива, </t>
    </r>
    <r>
      <rPr>
        <b/>
        <sz val="13"/>
        <rFont val="Arial Cyr"/>
        <family val="0"/>
      </rPr>
      <t>краще - смолисті, які виділяють більше піролізних газів,</t>
    </r>
    <r>
      <rPr>
        <sz val="13"/>
        <rFont val="Arial Cyr"/>
        <family val="0"/>
      </rPr>
      <t xml:space="preserve"> що збільшує потужність і не погіршує показники викидів. При цьому відсутній накип смоли на теблообмінниках та димоходах, що підтвержує 10-річний стаж такої технології. </t>
    </r>
    <r>
      <rPr>
        <b/>
        <sz val="13"/>
        <rFont val="Arial Cyr"/>
        <family val="0"/>
      </rPr>
      <t>На інших котлах таке паливо забороняють або не рекомедують використовувати!</t>
    </r>
  </si>
  <si>
    <t>ККД котлів ТОВ "ЕКО-ЮЕЙ"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</si>
</sst>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"/>
    <numFmt numFmtId="197" formatCode="0.0000"/>
    <numFmt numFmtId="198" formatCode="0.000"/>
    <numFmt numFmtId="199" formatCode="0.0"/>
  </numFmts>
  <fonts count="81">
    <font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0"/>
      <color indexed="9"/>
      <name val="Arial Cyr"/>
      <family val="0"/>
    </font>
    <font>
      <sz val="14"/>
      <color indexed="16"/>
      <name val="Times New Roman"/>
      <family val="1"/>
    </font>
    <font>
      <b/>
      <sz val="10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4"/>
      <color indexed="56"/>
      <name val="Arial Cyr"/>
      <family val="0"/>
    </font>
    <font>
      <b/>
      <sz val="12"/>
      <color indexed="56"/>
      <name val="Arial Cyr"/>
      <family val="0"/>
    </font>
    <font>
      <sz val="10"/>
      <color indexed="56"/>
      <name val="Arial Cyr"/>
      <family val="0"/>
    </font>
    <font>
      <sz val="14"/>
      <name val="Arial Cyr"/>
      <family val="0"/>
    </font>
    <font>
      <b/>
      <sz val="12"/>
      <color indexed="9"/>
      <name val="Arial Cyr"/>
      <family val="0"/>
    </font>
    <font>
      <sz val="12"/>
      <color indexed="56"/>
      <name val="Arial Cyr"/>
      <family val="0"/>
    </font>
    <font>
      <b/>
      <sz val="10"/>
      <color indexed="10"/>
      <name val="Arial Cyr"/>
      <family val="0"/>
    </font>
    <font>
      <vertAlign val="subscript"/>
      <sz val="10"/>
      <name val="Arial Cyr"/>
      <family val="0"/>
    </font>
    <font>
      <sz val="8.5"/>
      <color indexed="8"/>
      <name val="Arial Cyr"/>
      <family val="0"/>
    </font>
    <font>
      <sz val="9.85"/>
      <color indexed="8"/>
      <name val="Arial Cyr"/>
      <family val="0"/>
    </font>
    <font>
      <sz val="8"/>
      <color indexed="8"/>
      <name val="Arial Cyr"/>
      <family val="0"/>
    </font>
    <font>
      <vertAlign val="superscript"/>
      <sz val="12"/>
      <color indexed="56"/>
      <name val="Arial Cyr"/>
      <family val="0"/>
    </font>
    <font>
      <b/>
      <i/>
      <vertAlign val="superscript"/>
      <sz val="14"/>
      <color indexed="9"/>
      <name val="Arial Cyr"/>
      <family val="0"/>
    </font>
    <font>
      <b/>
      <i/>
      <sz val="14"/>
      <name val="Arial Cyr"/>
      <family val="0"/>
    </font>
    <font>
      <b/>
      <i/>
      <sz val="14"/>
      <color indexed="9"/>
      <name val="Arial Cyr"/>
      <family val="0"/>
    </font>
    <font>
      <b/>
      <sz val="24"/>
      <color indexed="17"/>
      <name val="Arial Cyr"/>
      <family val="0"/>
    </font>
    <font>
      <sz val="10"/>
      <color indexed="17"/>
      <name val="Arial Cyr"/>
      <family val="0"/>
    </font>
    <font>
      <b/>
      <sz val="16"/>
      <color indexed="8"/>
      <name val="Arial Cyr"/>
      <family val="0"/>
    </font>
    <font>
      <b/>
      <sz val="14"/>
      <color indexed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20"/>
      <color indexed="9"/>
      <name val="Arial Cyr"/>
      <family val="0"/>
    </font>
    <font>
      <sz val="2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8"/>
      <color indexed="10"/>
      <name val="Arial Cyr"/>
      <family val="0"/>
    </font>
    <font>
      <sz val="12"/>
      <color indexed="12"/>
      <name val="Arial Cyr"/>
      <family val="0"/>
    </font>
    <font>
      <sz val="12"/>
      <color indexed="8"/>
      <name val="Arial Cyr"/>
      <family val="0"/>
    </font>
    <font>
      <b/>
      <sz val="1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 Cyr"/>
      <family val="0"/>
    </font>
    <font>
      <b/>
      <sz val="11.5"/>
      <color indexed="8"/>
      <name val="Arial Cyr"/>
      <family val="0"/>
    </font>
    <font>
      <b/>
      <sz val="9.75"/>
      <color indexed="8"/>
      <name val="Arial Cyr"/>
      <family val="0"/>
    </font>
    <font>
      <b/>
      <sz val="11.75"/>
      <color indexed="8"/>
      <name val="Arial Cyr"/>
      <family val="0"/>
    </font>
    <font>
      <b/>
      <sz val="10.25"/>
      <color indexed="8"/>
      <name val="Arial Cyr"/>
      <family val="0"/>
    </font>
    <font>
      <b/>
      <sz val="1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7" borderId="0" xfId="0" applyFill="1" applyAlignment="1">
      <alignment/>
    </xf>
    <xf numFmtId="0" fontId="7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8" borderId="0" xfId="0" applyFont="1" applyFill="1" applyAlignment="1" applyProtection="1">
      <alignment/>
      <protection locked="0"/>
    </xf>
    <xf numFmtId="192" fontId="3" fillId="33" borderId="0" xfId="0" applyNumberFormat="1" applyFont="1" applyFill="1" applyAlignment="1">
      <alignment/>
    </xf>
    <xf numFmtId="19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" fontId="15" fillId="38" borderId="0" xfId="0" applyNumberFormat="1" applyFont="1" applyFill="1" applyAlignment="1" applyProtection="1">
      <alignment/>
      <protection locked="0"/>
    </xf>
    <xf numFmtId="17" fontId="3" fillId="36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92" fontId="3" fillId="34" borderId="0" xfId="0" applyNumberFormat="1" applyFont="1" applyFill="1" applyAlignment="1">
      <alignment/>
    </xf>
    <xf numFmtId="192" fontId="3" fillId="34" borderId="10" xfId="0" applyNumberFormat="1" applyFont="1" applyFill="1" applyBorder="1" applyAlignment="1">
      <alignment/>
    </xf>
    <xf numFmtId="2" fontId="3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/>
    </xf>
    <xf numFmtId="4" fontId="3" fillId="39" borderId="0" xfId="0" applyNumberFormat="1" applyFont="1" applyFill="1" applyAlignment="1">
      <alignment/>
    </xf>
    <xf numFmtId="1" fontId="3" fillId="39" borderId="0" xfId="0" applyNumberFormat="1" applyFont="1" applyFill="1" applyAlignment="1">
      <alignment/>
    </xf>
    <xf numFmtId="0" fontId="3" fillId="40" borderId="11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35" borderId="10" xfId="0" applyFont="1" applyFill="1" applyBorder="1" applyAlignment="1">
      <alignment/>
    </xf>
    <xf numFmtId="0" fontId="17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9" fillId="0" borderId="0" xfId="42" applyAlignment="1" applyProtection="1">
      <alignment/>
      <protection locked="0"/>
    </xf>
    <xf numFmtId="0" fontId="5" fillId="41" borderId="13" xfId="0" applyFont="1" applyFill="1" applyBorder="1" applyAlignment="1">
      <alignment horizontal="center" vertical="center" wrapText="1"/>
    </xf>
    <xf numFmtId="192" fontId="3" fillId="33" borderId="14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6" borderId="17" xfId="0" applyFont="1" applyFill="1" applyBorder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2" fillId="42" borderId="18" xfId="0" applyFont="1" applyFill="1" applyBorder="1" applyAlignment="1">
      <alignment vertical="center" wrapText="1"/>
    </xf>
    <xf numFmtId="0" fontId="2" fillId="42" borderId="19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wrapText="1"/>
    </xf>
    <xf numFmtId="0" fontId="0" fillId="42" borderId="20" xfId="0" applyFill="1" applyBorder="1" applyAlignment="1">
      <alignment/>
    </xf>
    <xf numFmtId="0" fontId="0" fillId="42" borderId="21" xfId="0" applyFill="1" applyBorder="1" applyAlignment="1">
      <alignment/>
    </xf>
    <xf numFmtId="0" fontId="25" fillId="41" borderId="2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1" fillId="38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7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37" fillId="42" borderId="10" xfId="0" applyFont="1" applyFill="1" applyBorder="1" applyAlignment="1">
      <alignment horizontal="center"/>
    </xf>
    <xf numFmtId="0" fontId="38" fillId="42" borderId="21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3" fillId="36" borderId="23" xfId="0" applyFont="1" applyFill="1" applyBorder="1" applyAlignment="1">
      <alignment/>
    </xf>
    <xf numFmtId="0" fontId="39" fillId="36" borderId="17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1" fontId="3" fillId="36" borderId="17" xfId="0" applyNumberFormat="1" applyFont="1" applyFill="1" applyBorder="1" applyAlignment="1">
      <alignment/>
    </xf>
    <xf numFmtId="0" fontId="31" fillId="35" borderId="10" xfId="0" applyFont="1" applyFill="1" applyBorder="1" applyAlignment="1">
      <alignment horizontal="center" vertical="center" wrapText="1"/>
    </xf>
    <xf numFmtId="199" fontId="29" fillId="38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199" fontId="28" fillId="42" borderId="1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35" fillId="33" borderId="19" xfId="0" applyFont="1" applyFill="1" applyBorder="1" applyAlignment="1">
      <alignment vertical="distributed" wrapText="1"/>
    </xf>
    <xf numFmtId="0" fontId="35" fillId="33" borderId="20" xfId="0" applyFont="1" applyFill="1" applyBorder="1" applyAlignment="1">
      <alignment vertical="distributed" wrapText="1"/>
    </xf>
    <xf numFmtId="0" fontId="35" fillId="33" borderId="26" xfId="0" applyFont="1" applyFill="1" applyBorder="1" applyAlignment="1">
      <alignment vertical="distributed" wrapText="1"/>
    </xf>
    <xf numFmtId="0" fontId="35" fillId="33" borderId="27" xfId="0" applyFont="1" applyFill="1" applyBorder="1" applyAlignment="1">
      <alignment vertical="distributed" wrapText="1"/>
    </xf>
    <xf numFmtId="0" fontId="35" fillId="33" borderId="0" xfId="0" applyFont="1" applyFill="1" applyBorder="1" applyAlignment="1">
      <alignment vertical="distributed" wrapText="1"/>
    </xf>
    <xf numFmtId="0" fontId="35" fillId="33" borderId="28" xfId="0" applyFont="1" applyFill="1" applyBorder="1" applyAlignment="1">
      <alignment vertical="distributed" wrapText="1"/>
    </xf>
    <xf numFmtId="0" fontId="35" fillId="33" borderId="29" xfId="0" applyFont="1" applyFill="1" applyBorder="1" applyAlignment="1">
      <alignment vertical="distributed" wrapText="1"/>
    </xf>
    <xf numFmtId="0" fontId="35" fillId="33" borderId="30" xfId="0" applyFont="1" applyFill="1" applyBorder="1" applyAlignment="1">
      <alignment vertical="distributed" wrapText="1"/>
    </xf>
    <xf numFmtId="0" fontId="35" fillId="33" borderId="31" xfId="0" applyFont="1" applyFill="1" applyBorder="1" applyAlignment="1">
      <alignment vertical="distributed" wrapText="1"/>
    </xf>
    <xf numFmtId="0" fontId="14" fillId="35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32" fillId="35" borderId="10" xfId="0" applyFont="1" applyFill="1" applyBorder="1" applyAlignment="1">
      <alignment horizontal="center" vertical="center" wrapText="1"/>
    </xf>
    <xf numFmtId="0" fontId="33" fillId="38" borderId="22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/>
      <protection locked="0"/>
    </xf>
    <xf numFmtId="0" fontId="26" fillId="35" borderId="0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30" xfId="0" applyFont="1" applyFill="1" applyBorder="1" applyAlignment="1">
      <alignment horizontal="center" vertical="center" wrapText="1"/>
    </xf>
    <xf numFmtId="0" fontId="5" fillId="41" borderId="32" xfId="0" applyFont="1" applyFill="1" applyBorder="1" applyAlignment="1">
      <alignment horizontal="center" vertical="center" wrapText="1"/>
    </xf>
    <xf numFmtId="0" fontId="0" fillId="44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Порівняльна залежність ККД котлівй ТОВ "ЕКО-ЮЕЙ" та інших котлів від вологості палива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325"/>
          <c:w val="0.91575"/>
          <c:h val="0.64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Лист2!$I$1</c:f>
              <c:strCache>
                <c:ptCount val="1"/>
                <c:pt idx="0">
                  <c:v>ККД котлів ТОВ "ЕКО-ЮЕЙ"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Лист2!$H$2:$H$17</c:f>
              <c:numCache>
                <c:ptCount val="16"/>
                <c:pt idx="0">
                  <c:v>10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170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2">
                  <c:v>10</c:v>
                </c:pt>
                <c:pt idx="13">
                  <c:v>50</c:v>
                </c:pt>
                <c:pt idx="14">
                  <c:v>80</c:v>
                </c:pt>
                <c:pt idx="15">
                  <c:v>50</c:v>
                </c:pt>
              </c:numCache>
            </c:numRef>
          </c:xVal>
          <c:yVal>
            <c:numRef>
              <c:f>Лист2!$I$2:$I$17</c:f>
              <c:numCache>
                <c:ptCount val="16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94</c:v>
                </c:pt>
                <c:pt idx="4">
                  <c:v>98</c:v>
                </c:pt>
                <c:pt idx="5">
                  <c:v>60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Лист2!$J$1</c:f>
              <c:strCache>
                <c:ptCount val="1"/>
                <c:pt idx="0">
                  <c:v>ККД інших котлів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Лист2!$H$2:$H$17</c:f>
              <c:numCache>
                <c:ptCount val="16"/>
                <c:pt idx="0">
                  <c:v>10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170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2">
                  <c:v>10</c:v>
                </c:pt>
                <c:pt idx="13">
                  <c:v>50</c:v>
                </c:pt>
                <c:pt idx="14">
                  <c:v>80</c:v>
                </c:pt>
                <c:pt idx="15">
                  <c:v>50</c:v>
                </c:pt>
              </c:numCache>
            </c:numRef>
          </c:xVal>
          <c:yVal>
            <c:numRef>
              <c:f>Лист2!$J$2:$J$17</c:f>
              <c:numCache>
                <c:ptCount val="16"/>
                <c:pt idx="6">
                  <c:v>84.9</c:v>
                </c:pt>
                <c:pt idx="7">
                  <c:v>80.6</c:v>
                </c:pt>
                <c:pt idx="8">
                  <c:v>73.7</c:v>
                </c:pt>
                <c:pt idx="9">
                  <c:v>71.4</c:v>
                </c:pt>
                <c:pt idx="10">
                  <c:v>49.2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Лист2!$K$1</c:f>
              <c:strCache>
                <c:ptCount val="1"/>
                <c:pt idx="0">
                  <c:v>Аппроксимація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Лист2!$H$2:$H$17</c:f>
              <c:numCache>
                <c:ptCount val="16"/>
                <c:pt idx="0">
                  <c:v>10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170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2">
                  <c:v>10</c:v>
                </c:pt>
                <c:pt idx="13">
                  <c:v>50</c:v>
                </c:pt>
                <c:pt idx="14">
                  <c:v>80</c:v>
                </c:pt>
                <c:pt idx="15">
                  <c:v>50</c:v>
                </c:pt>
              </c:numCache>
            </c:numRef>
          </c:xVal>
          <c:yVal>
            <c:numRef>
              <c:f>Лист2!$K$2:$K$17</c:f>
              <c:numCache>
                <c:ptCount val="16"/>
                <c:pt idx="12">
                  <c:v>90</c:v>
                </c:pt>
                <c:pt idx="13">
                  <c:v>71.4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Лист2!$L$1</c:f>
              <c:strCache>
                <c:ptCount val="1"/>
                <c:pt idx="0">
                  <c:v>Аппроксимація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Лист2!$H$2:$H$17</c:f>
              <c:numCache>
                <c:ptCount val="16"/>
                <c:pt idx="0">
                  <c:v>10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170</c:v>
                </c:pt>
                <c:pt idx="6">
                  <c:v>30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2">
                  <c:v>10</c:v>
                </c:pt>
                <c:pt idx="13">
                  <c:v>50</c:v>
                </c:pt>
                <c:pt idx="14">
                  <c:v>80</c:v>
                </c:pt>
                <c:pt idx="15">
                  <c:v>50</c:v>
                </c:pt>
              </c:numCache>
            </c:numRef>
          </c:xVal>
          <c:yVal>
            <c:numRef>
              <c:f>Лист2!$L$2:$L$17</c:f>
              <c:numCache>
                <c:ptCount val="16"/>
                <c:pt idx="14">
                  <c:v>0</c:v>
                </c:pt>
                <c:pt idx="15">
                  <c:v>71.4</c:v>
                </c:pt>
              </c:numCache>
            </c:numRef>
          </c:yVal>
          <c:smooth val="1"/>
        </c:ser>
        <c:axId val="53345915"/>
        <c:axId val="10351188"/>
      </c:scatterChart>
      <c:valAx>
        <c:axId val="5334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Абсолютна вологість, %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1188"/>
        <c:crosses val="autoZero"/>
        <c:crossBetween val="midCat"/>
        <c:dispUnits/>
        <c:majorUnit val="10"/>
      </c:valAx>
      <c:valAx>
        <c:axId val="1035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ККД, 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9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7"/>
          <c:y val="0.845"/>
          <c:w val="0.82925"/>
          <c:h val="0.1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Теплота згорання палива</a:t>
            </a:r>
          </a:p>
        </c:rich>
      </c:tx>
      <c:layout>
        <c:manualLayout>
          <c:xMode val="factor"/>
          <c:yMode val="factor"/>
          <c:x val="-0.07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12"/>
          <c:w val="0.91"/>
          <c:h val="0.63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Лист2!$I$21</c:f>
              <c:strCache>
                <c:ptCount val="1"/>
                <c:pt idx="0">
                  <c:v>Теплотворна здатність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Лист2!$H$22:$H$23</c:f>
              <c:numCache>
                <c:ptCount val="2"/>
                <c:pt idx="0">
                  <c:v>0</c:v>
                </c:pt>
                <c:pt idx="1">
                  <c:v>4400</c:v>
                </c:pt>
              </c:numCache>
            </c:numRef>
          </c:xVal>
          <c:yVal>
            <c:numRef>
              <c:f>Лист2!$I$22:$I$23</c:f>
              <c:numCache>
                <c:ptCount val="2"/>
                <c:pt idx="0">
                  <c:v>90</c:v>
                </c:pt>
                <c:pt idx="1">
                  <c:v>0</c:v>
                </c:pt>
              </c:numCache>
            </c:numRef>
          </c:yVal>
          <c:smooth val="1"/>
        </c:ser>
        <c:axId val="26051829"/>
        <c:axId val="33139870"/>
      </c:scatterChart>
      <c:valAx>
        <c:axId val="26051829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Теплота згорання, кал/кг</a:t>
                </a:r>
              </a:p>
            </c:rich>
          </c:tx>
          <c:layout>
            <c:manualLayout>
              <c:xMode val="factor"/>
              <c:yMode val="factor"/>
              <c:x val="0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9870"/>
        <c:crosses val="autoZero"/>
        <c:crossBetween val="midCat"/>
        <c:dispUnits/>
        <c:majorUnit val="1500"/>
      </c:valAx>
      <c:valAx>
        <c:axId val="3313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Вологість,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82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Залежність ККД від вологості палива</a:t>
            </a:r>
          </a:p>
        </c:rich>
      </c:tx>
      <c:layout>
        <c:manualLayout>
          <c:xMode val="factor"/>
          <c:yMode val="factor"/>
          <c:x val="-0.08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95"/>
          <c:w val="0.9075"/>
          <c:h val="0.707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Лист2!$H$27:$H$31</c:f>
              <c:numCache>
                <c:ptCount val="5"/>
                <c:pt idx="0">
                  <c:v>30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</c:numCache>
            </c:numRef>
          </c:xVal>
          <c:yVal>
            <c:numRef>
              <c:f>Лист2!$I$27:$I$31</c:f>
              <c:numCache>
                <c:ptCount val="5"/>
                <c:pt idx="0">
                  <c:v>84.9</c:v>
                </c:pt>
                <c:pt idx="1">
                  <c:v>80.6</c:v>
                </c:pt>
                <c:pt idx="2">
                  <c:v>73.7</c:v>
                </c:pt>
                <c:pt idx="3">
                  <c:v>71.4</c:v>
                </c:pt>
                <c:pt idx="4">
                  <c:v>49.2</c:v>
                </c:pt>
              </c:numCache>
            </c:numRef>
          </c:yVal>
          <c:smooth val="1"/>
        </c:ser>
        <c:axId val="29823375"/>
        <c:axId val="67083784"/>
      </c:scatterChart>
      <c:valAx>
        <c:axId val="29823375"/>
        <c:scaling>
          <c:orientation val="minMax"/>
          <c:max val="65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Абсолютна вологість палива, %</a:t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784"/>
        <c:crosses val="autoZero"/>
        <c:crossBetween val="midCat"/>
        <c:dispUnits/>
        <c:majorUnit val="5"/>
      </c:valAx>
      <c:valAx>
        <c:axId val="6708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ККД "брутто" котла,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37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36</xdr:row>
      <xdr:rowOff>76200</xdr:rowOff>
    </xdr:from>
    <xdr:to>
      <xdr:col>6</xdr:col>
      <xdr:colOff>552450</xdr:colOff>
      <xdr:row>43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448675"/>
          <a:ext cx="6648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142875</xdr:rowOff>
    </xdr:from>
    <xdr:to>
      <xdr:col>7</xdr:col>
      <xdr:colOff>66675</xdr:colOff>
      <xdr:row>64</xdr:row>
      <xdr:rowOff>9525</xdr:rowOff>
    </xdr:to>
    <xdr:graphicFrame>
      <xdr:nvGraphicFramePr>
        <xdr:cNvPr id="2" name="Диаграмма 96"/>
        <xdr:cNvGraphicFramePr/>
      </xdr:nvGraphicFramePr>
      <xdr:xfrm>
        <a:off x="352425" y="9972675"/>
        <a:ext cx="7162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390525</xdr:colOff>
      <xdr:row>34</xdr:row>
      <xdr:rowOff>28575</xdr:rowOff>
    </xdr:from>
    <xdr:to>
      <xdr:col>13</xdr:col>
      <xdr:colOff>914400</xdr:colOff>
      <xdr:row>47</xdr:row>
      <xdr:rowOff>66675</xdr:rowOff>
    </xdr:to>
    <xdr:graphicFrame>
      <xdr:nvGraphicFramePr>
        <xdr:cNvPr id="3" name="Диаграмма 100"/>
        <xdr:cNvGraphicFramePr/>
      </xdr:nvGraphicFramePr>
      <xdr:xfrm>
        <a:off x="7839075" y="8039100"/>
        <a:ext cx="55435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47</xdr:row>
      <xdr:rowOff>133350</xdr:rowOff>
    </xdr:from>
    <xdr:to>
      <xdr:col>13</xdr:col>
      <xdr:colOff>933450</xdr:colOff>
      <xdr:row>64</xdr:row>
      <xdr:rowOff>28575</xdr:rowOff>
    </xdr:to>
    <xdr:graphicFrame>
      <xdr:nvGraphicFramePr>
        <xdr:cNvPr id="4" name="Диаграмма 101"/>
        <xdr:cNvGraphicFramePr/>
      </xdr:nvGraphicFramePr>
      <xdr:xfrm>
        <a:off x="7858125" y="10287000"/>
        <a:ext cx="554355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161925</xdr:colOff>
      <xdr:row>65</xdr:row>
      <xdr:rowOff>85725</xdr:rowOff>
    </xdr:from>
    <xdr:to>
      <xdr:col>13</xdr:col>
      <xdr:colOff>466725</xdr:colOff>
      <xdr:row>66</xdr:row>
      <xdr:rowOff>47625</xdr:rowOff>
    </xdr:to>
    <xdr:sp>
      <xdr:nvSpPr>
        <xdr:cNvPr id="5" name="AutoShape 102"/>
        <xdr:cNvSpPr>
          <a:spLocks/>
        </xdr:cNvSpPr>
      </xdr:nvSpPr>
      <xdr:spPr>
        <a:xfrm rot="19211665">
          <a:off x="12630150" y="13306425"/>
          <a:ext cx="30480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68</xdr:row>
      <xdr:rowOff>85725</xdr:rowOff>
    </xdr:from>
    <xdr:to>
      <xdr:col>8</xdr:col>
      <xdr:colOff>447675</xdr:colOff>
      <xdr:row>68</xdr:row>
      <xdr:rowOff>228600</xdr:rowOff>
    </xdr:to>
    <xdr:sp>
      <xdr:nvSpPr>
        <xdr:cNvPr id="6" name="AutoShape 103"/>
        <xdr:cNvSpPr>
          <a:spLocks/>
        </xdr:cNvSpPr>
      </xdr:nvSpPr>
      <xdr:spPr>
        <a:xfrm rot="8411665">
          <a:off x="8477250" y="13811250"/>
          <a:ext cx="304800" cy="1428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2838450</xdr:colOff>
      <xdr:row>7</xdr:row>
      <xdr:rowOff>142875</xdr:rowOff>
    </xdr:from>
    <xdr:to>
      <xdr:col>2</xdr:col>
      <xdr:colOff>114300</xdr:colOff>
      <xdr:row>7</xdr:row>
      <xdr:rowOff>333375</xdr:rowOff>
    </xdr:to>
    <xdr:sp>
      <xdr:nvSpPr>
        <xdr:cNvPr id="7" name="AutoShape 107"/>
        <xdr:cNvSpPr>
          <a:spLocks/>
        </xdr:cNvSpPr>
      </xdr:nvSpPr>
      <xdr:spPr>
        <a:xfrm rot="21451572">
          <a:off x="3190875" y="1390650"/>
          <a:ext cx="400050" cy="190500"/>
        </a:xfrm>
        <a:prstGeom prst="rightArrow">
          <a:avLst>
            <a:gd name="adj1" fmla="val 6060"/>
            <a:gd name="adj2" fmla="val -2155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12</xdr:col>
      <xdr:colOff>371475</xdr:colOff>
      <xdr:row>7</xdr:row>
      <xdr:rowOff>200025</xdr:rowOff>
    </xdr:from>
    <xdr:to>
      <xdr:col>13</xdr:col>
      <xdr:colOff>1181100</xdr:colOff>
      <xdr:row>10</xdr:row>
      <xdr:rowOff>295275</xdr:rowOff>
    </xdr:to>
    <xdr:pic>
      <xdr:nvPicPr>
        <xdr:cNvPr id="8" name="Рисунок 9" descr="ЕКО-ЮЕЙ 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1447800"/>
          <a:ext cx="16573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priroda.by/dfiles/000303_772511_Vybrosy_zagrjaznjajuschix_veschestv_v_atmosfernyj_vozdux_pri_szhiganii_biomassy.pp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85" zoomScaleNormal="85" zoomScalePageLayoutView="0" workbookViewId="0" topLeftCell="A1">
      <selection activeCell="O11" sqref="O11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4" width="10.375" style="0" customWidth="1"/>
    <col min="5" max="5" width="10.875" style="0" customWidth="1"/>
    <col min="6" max="6" width="11.25390625" style="0" customWidth="1"/>
    <col min="7" max="7" width="9.25390625" style="0" bestFit="1" customWidth="1"/>
    <col min="8" max="8" width="11.625" style="0" customWidth="1"/>
    <col min="9" max="9" width="9.375" style="0" customWidth="1"/>
    <col min="10" max="10" width="9.75390625" style="0" customWidth="1"/>
    <col min="11" max="11" width="11.375" style="0" customWidth="1"/>
    <col min="12" max="12" width="12.625" style="0" customWidth="1"/>
    <col min="13" max="13" width="11.125" style="0" customWidth="1"/>
    <col min="14" max="14" width="18.875" style="0" customWidth="1"/>
    <col min="16" max="16" width="12.375" style="0" bestFit="1" customWidth="1"/>
  </cols>
  <sheetData>
    <row r="1" spans="2:14" ht="39" customHeight="1">
      <c r="B1" s="98" t="s">
        <v>68</v>
      </c>
      <c r="C1" s="99"/>
      <c r="D1" s="99"/>
      <c r="E1" s="99"/>
      <c r="F1" s="99"/>
      <c r="G1" s="99"/>
      <c r="H1" s="99"/>
      <c r="I1" s="99"/>
      <c r="J1" s="99"/>
      <c r="K1" s="100" t="s">
        <v>85</v>
      </c>
      <c r="L1" s="100"/>
      <c r="M1" s="100"/>
      <c r="N1" s="100"/>
    </row>
    <row r="2" spans="1:14" ht="17.25" customHeight="1">
      <c r="A2" s="60"/>
      <c r="B2" s="68" t="s">
        <v>83</v>
      </c>
      <c r="C2" s="6"/>
      <c r="D2" s="64"/>
      <c r="E2" s="64"/>
      <c r="F2" s="64"/>
      <c r="G2" s="64"/>
      <c r="H2" s="64"/>
      <c r="I2" s="64"/>
      <c r="J2" s="92" t="s">
        <v>86</v>
      </c>
      <c r="K2" s="92"/>
      <c r="L2" s="92"/>
      <c r="M2" s="92"/>
      <c r="N2" s="92"/>
    </row>
    <row r="3" spans="1:14" ht="19.5" customHeight="1">
      <c r="A3" s="14"/>
      <c r="B3" s="68" t="s">
        <v>91</v>
      </c>
      <c r="C3" s="6"/>
      <c r="D3" s="64"/>
      <c r="E3" s="64"/>
      <c r="F3" s="64"/>
      <c r="G3" s="64"/>
      <c r="H3" s="64"/>
      <c r="I3" s="64"/>
      <c r="J3" s="92"/>
      <c r="K3" s="92"/>
      <c r="L3" s="92"/>
      <c r="M3" s="92"/>
      <c r="N3" s="92"/>
    </row>
    <row r="4" spans="1:14" ht="16.5" customHeight="1">
      <c r="A4" s="5"/>
      <c r="B4" s="68" t="s">
        <v>61</v>
      </c>
      <c r="C4" s="6"/>
      <c r="D4" s="64"/>
      <c r="E4" s="64"/>
      <c r="F4" s="64"/>
      <c r="G4" s="64"/>
      <c r="H4" s="64"/>
      <c r="I4" s="64"/>
      <c r="J4" s="92"/>
      <c r="K4" s="92"/>
      <c r="L4" s="92"/>
      <c r="M4" s="92"/>
      <c r="N4" s="92"/>
    </row>
    <row r="5" spans="2:14" ht="6" customHeight="1">
      <c r="B5" s="6"/>
      <c r="C5" s="6"/>
      <c r="D5" s="65"/>
      <c r="E5" s="65"/>
      <c r="F5" s="65"/>
      <c r="G5" s="65"/>
      <c r="H5" s="65"/>
      <c r="I5" s="65"/>
      <c r="J5" s="92"/>
      <c r="K5" s="92"/>
      <c r="L5" s="92"/>
      <c r="M5" s="92"/>
      <c r="N5" s="92"/>
    </row>
    <row r="6" spans="2:16" ht="12.75" customHeight="1" hidden="1">
      <c r="B6" s="62"/>
      <c r="C6" s="62"/>
      <c r="D6" s="62"/>
      <c r="E6" s="62"/>
      <c r="F6" s="62"/>
      <c r="G6" s="62"/>
      <c r="H6" s="62"/>
      <c r="I6" s="62"/>
      <c r="J6" s="92"/>
      <c r="K6" s="92"/>
      <c r="L6" s="92"/>
      <c r="M6" s="92"/>
      <c r="N6" s="92"/>
      <c r="P6" s="38"/>
    </row>
    <row r="7" spans="2:16" ht="38.25" customHeight="1" hidden="1" thickBot="1">
      <c r="B7" s="63"/>
      <c r="C7" s="63"/>
      <c r="D7" s="63"/>
      <c r="E7" s="63"/>
      <c r="F7" s="63"/>
      <c r="G7" s="63"/>
      <c r="H7" s="63"/>
      <c r="I7" s="63"/>
      <c r="J7" s="63"/>
      <c r="K7" s="55"/>
      <c r="L7" s="55"/>
      <c r="M7" s="59"/>
      <c r="N7" s="59"/>
      <c r="P7" s="38"/>
    </row>
    <row r="8" spans="2:14" ht="35.25" customHeight="1">
      <c r="B8" s="58" t="s">
        <v>81</v>
      </c>
      <c r="C8" s="96">
        <v>5000</v>
      </c>
      <c r="D8" s="97"/>
      <c r="E8" s="83" t="s">
        <v>92</v>
      </c>
      <c r="F8" s="84"/>
      <c r="G8" s="84"/>
      <c r="H8" s="84"/>
      <c r="I8" s="84"/>
      <c r="J8" s="84"/>
      <c r="K8" s="84"/>
      <c r="L8" s="85"/>
      <c r="M8" s="61"/>
      <c r="N8" s="61"/>
    </row>
    <row r="9" spans="2:14" ht="34.5" customHeight="1">
      <c r="B9" s="52" t="s">
        <v>79</v>
      </c>
      <c r="C9" s="75">
        <v>20</v>
      </c>
      <c r="D9" s="76"/>
      <c r="E9" s="86"/>
      <c r="F9" s="87"/>
      <c r="G9" s="87"/>
      <c r="H9" s="87"/>
      <c r="I9" s="87"/>
      <c r="J9" s="87"/>
      <c r="K9" s="87"/>
      <c r="L9" s="88"/>
      <c r="M9" s="61"/>
      <c r="N9" s="61"/>
    </row>
    <row r="10" spans="2:14" ht="36" customHeight="1">
      <c r="B10" s="52" t="s">
        <v>80</v>
      </c>
      <c r="C10" s="75">
        <v>-15</v>
      </c>
      <c r="D10" s="76"/>
      <c r="E10" s="86"/>
      <c r="F10" s="87"/>
      <c r="G10" s="87"/>
      <c r="H10" s="87"/>
      <c r="I10" s="87"/>
      <c r="J10" s="87"/>
      <c r="K10" s="87"/>
      <c r="L10" s="88"/>
      <c r="M10" s="61"/>
      <c r="N10" s="61"/>
    </row>
    <row r="11" spans="2:14" ht="24" customHeight="1">
      <c r="B11" s="53" t="s">
        <v>72</v>
      </c>
      <c r="C11" s="77">
        <f>1.1*C8*Лист2!D17*Лист2!D19*(C9-C10)*24*30*0.000001</f>
        <v>67.3596</v>
      </c>
      <c r="D11" s="78"/>
      <c r="E11" s="89"/>
      <c r="F11" s="90"/>
      <c r="G11" s="90"/>
      <c r="H11" s="90"/>
      <c r="I11" s="90"/>
      <c r="J11" s="90"/>
      <c r="K11" s="90"/>
      <c r="L11" s="91"/>
      <c r="M11" s="109"/>
      <c r="N11" s="109"/>
    </row>
    <row r="12" spans="2:14" ht="21.75" customHeight="1">
      <c r="B12" s="54" t="s">
        <v>84</v>
      </c>
      <c r="C12" s="77">
        <f>C11*1163/24/30</f>
        <v>108.804465</v>
      </c>
      <c r="D12" s="78"/>
      <c r="E12" s="66">
        <f>1.1*C8*Лист2!D17*Лист2!D19*(C9+25)*0.000001/0.000862*1.1</f>
        <v>153.49593967517401</v>
      </c>
      <c r="F12" s="67" t="s">
        <v>82</v>
      </c>
      <c r="G12" s="57"/>
      <c r="H12" s="56"/>
      <c r="I12" s="56"/>
      <c r="J12" s="56"/>
      <c r="K12" s="56"/>
      <c r="L12" s="56"/>
      <c r="M12" s="109"/>
      <c r="N12" s="109"/>
    </row>
    <row r="13" spans="2:14" s="1" customFormat="1" ht="30" customHeight="1">
      <c r="B13" s="74" t="s">
        <v>0</v>
      </c>
      <c r="C13" s="105" t="s">
        <v>55</v>
      </c>
      <c r="D13" s="105" t="s">
        <v>56</v>
      </c>
      <c r="E13" s="95" t="s">
        <v>9</v>
      </c>
      <c r="F13" s="74" t="s">
        <v>62</v>
      </c>
      <c r="G13" s="74"/>
      <c r="H13" s="74" t="s">
        <v>2</v>
      </c>
      <c r="I13" s="108" t="s">
        <v>5</v>
      </c>
      <c r="J13" s="106" t="s">
        <v>1</v>
      </c>
      <c r="K13" s="107"/>
      <c r="L13" s="107"/>
      <c r="M13" s="101" t="s">
        <v>14</v>
      </c>
      <c r="N13" s="103" t="s">
        <v>69</v>
      </c>
    </row>
    <row r="14" spans="1:21" s="4" customFormat="1" ht="41.25" customHeight="1" thickBot="1">
      <c r="A14" s="4" t="s">
        <v>66</v>
      </c>
      <c r="B14" s="74"/>
      <c r="C14" s="105"/>
      <c r="D14" s="105"/>
      <c r="E14" s="95"/>
      <c r="F14" s="51" t="s">
        <v>10</v>
      </c>
      <c r="G14" s="51" t="s">
        <v>65</v>
      </c>
      <c r="H14" s="74"/>
      <c r="I14" s="108"/>
      <c r="J14" s="43" t="s">
        <v>8</v>
      </c>
      <c r="K14" s="43" t="s">
        <v>6</v>
      </c>
      <c r="L14" s="43" t="s">
        <v>7</v>
      </c>
      <c r="M14" s="102"/>
      <c r="N14" s="104"/>
      <c r="U14" s="8"/>
    </row>
    <row r="15" spans="2:14" s="2" customFormat="1" ht="15.75" thickBot="1">
      <c r="B15" s="69" t="s">
        <v>71</v>
      </c>
      <c r="C15" s="70">
        <v>0</v>
      </c>
      <c r="D15" s="71">
        <v>0</v>
      </c>
      <c r="E15" s="72">
        <v>100</v>
      </c>
      <c r="F15" s="71">
        <v>5</v>
      </c>
      <c r="G15" s="73">
        <f>F15*859.84523</f>
        <v>4299.22615</v>
      </c>
      <c r="H15" s="50"/>
      <c r="I15" s="46"/>
      <c r="J15" s="47"/>
      <c r="K15" s="47"/>
      <c r="L15" s="47"/>
      <c r="M15" s="45"/>
      <c r="N15" s="48">
        <v>0</v>
      </c>
    </row>
    <row r="16" spans="1:16" ht="15.75">
      <c r="A16">
        <v>1</v>
      </c>
      <c r="B16" s="30" t="s">
        <v>87</v>
      </c>
      <c r="C16" s="16">
        <v>60</v>
      </c>
      <c r="D16" s="17">
        <f>C16/(100+C16)*100</f>
        <v>37.5</v>
      </c>
      <c r="E16" s="44">
        <f>0.057143*C16+89.42857</f>
        <v>92.85714999999999</v>
      </c>
      <c r="F16" s="19">
        <f>F$15*(100-D16)*E16/100/100</f>
        <v>2.9017859374999997</v>
      </c>
      <c r="G16" s="20">
        <f>F16*859.84523</f>
        <v>2495.0867968404527</v>
      </c>
      <c r="H16" s="20">
        <f aca="true" t="shared" si="0" ref="H16:H31">C$12/F16*24</f>
        <v>899.896552069496</v>
      </c>
      <c r="I16" s="21">
        <v>0.33</v>
      </c>
      <c r="J16" s="20">
        <f>H16*I16</f>
        <v>296.9658621829337</v>
      </c>
      <c r="K16" s="20">
        <f>H16*I16*30</f>
        <v>8908.97586548801</v>
      </c>
      <c r="L16" s="20">
        <f>K16*6</f>
        <v>53453.85519292806</v>
      </c>
      <c r="M16" s="20">
        <f>1000000/G16*I16</f>
        <v>132.25992795837064</v>
      </c>
      <c r="N16" s="22" t="s">
        <v>37</v>
      </c>
      <c r="P16" s="7"/>
    </row>
    <row r="17" spans="1:14" ht="15.75">
      <c r="A17">
        <v>2</v>
      </c>
      <c r="B17" s="31" t="s">
        <v>57</v>
      </c>
      <c r="C17" s="23">
        <f>C16</f>
        <v>60</v>
      </c>
      <c r="D17" s="24">
        <f>C17/(100+C17)*100</f>
        <v>37.5</v>
      </c>
      <c r="E17" s="25">
        <f>IF(AND(C17&gt;=10,C17&lt;50),-0.465*C17+94.56,IF(AND(C17&gt;=50,C17&lt;=80),-2.22*C17+182.4,0))</f>
        <v>49.19999999999999</v>
      </c>
      <c r="F17" s="26">
        <f>3.44*(100-D17)*E17/100/100</f>
        <v>1.0577999999999999</v>
      </c>
      <c r="G17" s="27">
        <f>F17*859.84523</f>
        <v>909.5442842939999</v>
      </c>
      <c r="H17" s="27">
        <f t="shared" si="0"/>
        <v>2468.620873511061</v>
      </c>
      <c r="I17" s="28">
        <f>I16</f>
        <v>0.33</v>
      </c>
      <c r="J17" s="27">
        <f>H17*I17</f>
        <v>814.6448882586501</v>
      </c>
      <c r="K17" s="27">
        <f>H17*I17*30</f>
        <v>24439.346647759503</v>
      </c>
      <c r="L17" s="27">
        <f>K17*6</f>
        <v>146636.079886557</v>
      </c>
      <c r="M17" s="27">
        <f>1000000/G17*I17</f>
        <v>362.819057519723</v>
      </c>
      <c r="N17" s="29" t="s">
        <v>36</v>
      </c>
    </row>
    <row r="18" spans="1:14" ht="15.75">
      <c r="A18">
        <v>3</v>
      </c>
      <c r="B18" s="30" t="s">
        <v>88</v>
      </c>
      <c r="C18" s="16">
        <v>70</v>
      </c>
      <c r="D18" s="17">
        <f>C18/(100+C18)*100</f>
        <v>41.17647058823529</v>
      </c>
      <c r="E18" s="18">
        <f>0.057143*C18+89.42857</f>
        <v>93.42858</v>
      </c>
      <c r="F18" s="19">
        <f>F$15*(100-D18)*E18/100/100</f>
        <v>2.747899411764706</v>
      </c>
      <c r="G18" s="20">
        <f aca="true" t="shared" si="1" ref="G18:G26">F18*859.84523</f>
        <v>2362.7682017256884</v>
      </c>
      <c r="H18" s="20">
        <f t="shared" si="0"/>
        <v>950.2921208906309</v>
      </c>
      <c r="I18" s="21">
        <v>0.3</v>
      </c>
      <c r="J18" s="20">
        <f>H18*I18</f>
        <v>285.0876362671893</v>
      </c>
      <c r="K18" s="20">
        <f>H18*I18*30</f>
        <v>8552.629088015678</v>
      </c>
      <c r="L18" s="20">
        <f aca="true" t="shared" si="2" ref="L18:L32">K18*6</f>
        <v>51315.774528094065</v>
      </c>
      <c r="M18" s="20">
        <f>1000000/G18*I18</f>
        <v>126.96971280589007</v>
      </c>
      <c r="N18" s="22" t="s">
        <v>37</v>
      </c>
    </row>
    <row r="19" spans="1:14" ht="15.75">
      <c r="A19">
        <v>4</v>
      </c>
      <c r="B19" s="31" t="s">
        <v>58</v>
      </c>
      <c r="C19" s="23">
        <f>C18</f>
        <v>70</v>
      </c>
      <c r="D19" s="24">
        <f aca="true" t="shared" si="3" ref="D19:D27">C19/(100+C19)*100</f>
        <v>41.17647058823529</v>
      </c>
      <c r="E19" s="25">
        <f>IF(AND(C19&gt;=10,C19&lt;50),-0.465*C19+94.56,IF(AND(C19&gt;=50,C19&lt;=80),-2.22*C19+182.4,0))</f>
        <v>27</v>
      </c>
      <c r="F19" s="26">
        <f>3.44*(100-D19)*E19/100/100</f>
        <v>0.5463529411764706</v>
      </c>
      <c r="G19" s="27">
        <f t="shared" si="1"/>
        <v>469.77897036705883</v>
      </c>
      <c r="H19" s="27">
        <f t="shared" si="0"/>
        <v>4779.524302325581</v>
      </c>
      <c r="I19" s="28">
        <f>I18</f>
        <v>0.3</v>
      </c>
      <c r="J19" s="27">
        <f aca="true" t="shared" si="4" ref="J19:J31">H19*I19</f>
        <v>1433.8572906976742</v>
      </c>
      <c r="K19" s="27">
        <f aca="true" t="shared" si="5" ref="K19:K31">H19*I19*30</f>
        <v>43015.71872093023</v>
      </c>
      <c r="L19" s="27">
        <f t="shared" si="2"/>
        <v>258094.31232558138</v>
      </c>
      <c r="M19" s="27">
        <f aca="true" t="shared" si="6" ref="M19:M31">1000000/G19*I19</f>
        <v>638.5981896243608</v>
      </c>
      <c r="N19" s="29" t="s">
        <v>36</v>
      </c>
    </row>
    <row r="20" spans="1:14" ht="15.75">
      <c r="A20">
        <v>5</v>
      </c>
      <c r="B20" s="30" t="s">
        <v>89</v>
      </c>
      <c r="C20" s="16">
        <v>50</v>
      </c>
      <c r="D20" s="17">
        <f t="shared" si="3"/>
        <v>33.33333333333333</v>
      </c>
      <c r="E20" s="18">
        <f>0.057143*C20+89.42857</f>
        <v>92.28572</v>
      </c>
      <c r="F20" s="19">
        <f>F$15*(100-D20)*E20/100/100</f>
        <v>3.076190666666667</v>
      </c>
      <c r="G20" s="20">
        <f t="shared" si="1"/>
        <v>2645.0478713038538</v>
      </c>
      <c r="H20" s="20">
        <f t="shared" si="0"/>
        <v>848.8768879952389</v>
      </c>
      <c r="I20" s="21">
        <v>0.5</v>
      </c>
      <c r="J20" s="20">
        <f t="shared" si="4"/>
        <v>424.43844399761946</v>
      </c>
      <c r="K20" s="20">
        <f t="shared" si="5"/>
        <v>12733.153319928584</v>
      </c>
      <c r="L20" s="20">
        <f t="shared" si="2"/>
        <v>76398.9199195715</v>
      </c>
      <c r="M20" s="20">
        <f t="shared" si="6"/>
        <v>189.03249556444862</v>
      </c>
      <c r="N20" s="22" t="s">
        <v>37</v>
      </c>
    </row>
    <row r="21" spans="1:18" ht="15.75">
      <c r="A21">
        <v>6</v>
      </c>
      <c r="B21" s="31" t="s">
        <v>59</v>
      </c>
      <c r="C21" s="23">
        <f>C20</f>
        <v>50</v>
      </c>
      <c r="D21" s="24">
        <f t="shared" si="3"/>
        <v>33.33333333333333</v>
      </c>
      <c r="E21" s="25">
        <f>IF(AND(C21&gt;=10,C21&lt;50),-0.465*C21+94.56,IF(AND(C21&gt;=50,C21&lt;=80),-2.22*C21+182.4,0))</f>
        <v>71.39999999999999</v>
      </c>
      <c r="F21" s="26">
        <f>3.44*(100-D21)*E21/100/100</f>
        <v>1.6374399999999998</v>
      </c>
      <c r="G21" s="27">
        <f t="shared" si="1"/>
        <v>1407.9449734111997</v>
      </c>
      <c r="H21" s="27">
        <f t="shared" si="0"/>
        <v>1594.7498290013682</v>
      </c>
      <c r="I21" s="28">
        <f>I20</f>
        <v>0.5</v>
      </c>
      <c r="J21" s="27">
        <f t="shared" si="4"/>
        <v>797.3749145006841</v>
      </c>
      <c r="K21" s="27">
        <f t="shared" si="5"/>
        <v>23921.247435020523</v>
      </c>
      <c r="L21" s="27">
        <f t="shared" si="2"/>
        <v>143527.48461012315</v>
      </c>
      <c r="M21" s="27">
        <f t="shared" si="6"/>
        <v>355.1275152384607</v>
      </c>
      <c r="N21" s="29" t="s">
        <v>36</v>
      </c>
      <c r="R21" s="7"/>
    </row>
    <row r="22" spans="1:14" ht="15.75">
      <c r="A22">
        <v>7</v>
      </c>
      <c r="B22" s="30" t="s">
        <v>90</v>
      </c>
      <c r="C22" s="15">
        <v>12</v>
      </c>
      <c r="D22" s="17">
        <f>C22/(100+C22)*100</f>
        <v>10.714285714285714</v>
      </c>
      <c r="E22" s="18">
        <f>0.057143*C22+89.42857</f>
        <v>90.11428599999999</v>
      </c>
      <c r="F22" s="19">
        <f>F$15*(100-D22)*E22/100/100</f>
        <v>4.022959196428571</v>
      </c>
      <c r="G22" s="20">
        <f t="shared" si="1"/>
        <v>3459.1222755337403</v>
      </c>
      <c r="H22" s="20">
        <f t="shared" si="0"/>
        <v>649.1010801994258</v>
      </c>
      <c r="I22" s="21">
        <v>1.3</v>
      </c>
      <c r="J22" s="20">
        <f>H22*I22</f>
        <v>843.8314042592536</v>
      </c>
      <c r="K22" s="20">
        <f>H22*I22*30</f>
        <v>25314.94212777761</v>
      </c>
      <c r="L22" s="20">
        <f t="shared" si="2"/>
        <v>151889.65276666565</v>
      </c>
      <c r="M22" s="20">
        <f t="shared" si="6"/>
        <v>375.81787992718785</v>
      </c>
      <c r="N22" s="22" t="s">
        <v>37</v>
      </c>
    </row>
    <row r="23" spans="1:14" ht="15.75">
      <c r="A23">
        <v>8</v>
      </c>
      <c r="B23" s="31" t="s">
        <v>60</v>
      </c>
      <c r="C23" s="23">
        <v>12</v>
      </c>
      <c r="D23" s="24">
        <f t="shared" si="3"/>
        <v>10.714285714285714</v>
      </c>
      <c r="E23" s="25">
        <f>IF(AND(C23&gt;=10,C23&lt;50),-0.465*C23+94.56,IF(AND(C23&gt;=50,C23&lt;=80),-2.22*C23+182.4,0))</f>
        <v>88.98</v>
      </c>
      <c r="F23" s="26">
        <f>3.44*(100-D23)*E23/100/100</f>
        <v>2.7329571428571433</v>
      </c>
      <c r="G23" s="27">
        <f t="shared" si="1"/>
        <v>2349.920163080143</v>
      </c>
      <c r="H23" s="27">
        <f t="shared" si="0"/>
        <v>955.4877824648338</v>
      </c>
      <c r="I23" s="28">
        <f>I22</f>
        <v>1.3</v>
      </c>
      <c r="J23" s="27">
        <f t="shared" si="4"/>
        <v>1242.134117204284</v>
      </c>
      <c r="K23" s="27">
        <f t="shared" si="5"/>
        <v>37264.023516128516</v>
      </c>
      <c r="L23" s="27">
        <f t="shared" si="2"/>
        <v>223584.1410967711</v>
      </c>
      <c r="M23" s="27">
        <f t="shared" si="6"/>
        <v>553.2102836617365</v>
      </c>
      <c r="N23" s="29" t="s">
        <v>36</v>
      </c>
    </row>
    <row r="24" spans="1:14" ht="15.75">
      <c r="A24">
        <v>9</v>
      </c>
      <c r="B24" s="30" t="s">
        <v>16</v>
      </c>
      <c r="C24" s="15">
        <v>12</v>
      </c>
      <c r="D24" s="17">
        <f t="shared" si="3"/>
        <v>10.714285714285714</v>
      </c>
      <c r="E24" s="18">
        <f>0.057143*C24+89.42857</f>
        <v>90.11428599999999</v>
      </c>
      <c r="F24" s="19">
        <f>6.22*(100-D24)*E24/100/100</f>
        <v>5.004561240357143</v>
      </c>
      <c r="G24" s="20">
        <f t="shared" si="1"/>
        <v>4303.148110763973</v>
      </c>
      <c r="H24" s="20">
        <f t="shared" si="0"/>
        <v>521.7854342439114</v>
      </c>
      <c r="I24" s="21">
        <v>0.85</v>
      </c>
      <c r="J24" s="20">
        <f>H24*I24</f>
        <v>443.51761910732466</v>
      </c>
      <c r="K24" s="20">
        <f>H24*I24*30</f>
        <v>13305.52857321974</v>
      </c>
      <c r="L24" s="20">
        <f t="shared" si="2"/>
        <v>79833.17143931845</v>
      </c>
      <c r="M24" s="20">
        <f>1000000/G24*I24</f>
        <v>197.52980332556868</v>
      </c>
      <c r="N24" s="22" t="s">
        <v>37</v>
      </c>
    </row>
    <row r="25" spans="1:14" ht="15.75">
      <c r="A25">
        <v>10</v>
      </c>
      <c r="B25" s="31" t="s">
        <v>15</v>
      </c>
      <c r="C25" s="23">
        <v>12</v>
      </c>
      <c r="D25" s="24">
        <f t="shared" si="3"/>
        <v>10.714285714285714</v>
      </c>
      <c r="E25" s="25">
        <v>89</v>
      </c>
      <c r="F25" s="26">
        <f>4.28*(100-D25)*E25/100/100</f>
        <v>3.401071428571429</v>
      </c>
      <c r="G25" s="27">
        <v>3285</v>
      </c>
      <c r="H25" s="27">
        <f t="shared" si="0"/>
        <v>767.7895671532078</v>
      </c>
      <c r="I25" s="28">
        <f>I24</f>
        <v>0.85</v>
      </c>
      <c r="J25" s="27">
        <f t="shared" si="4"/>
        <v>652.6211320802266</v>
      </c>
      <c r="K25" s="27">
        <f t="shared" si="5"/>
        <v>19578.6339624068</v>
      </c>
      <c r="L25" s="27">
        <f t="shared" si="2"/>
        <v>117471.80377444079</v>
      </c>
      <c r="M25" s="27">
        <f t="shared" si="6"/>
        <v>258.751902587519</v>
      </c>
      <c r="N25" s="29" t="s">
        <v>36</v>
      </c>
    </row>
    <row r="26" spans="1:14" ht="15.75">
      <c r="A26">
        <v>11</v>
      </c>
      <c r="B26" s="30" t="s">
        <v>17</v>
      </c>
      <c r="C26" s="15">
        <v>12</v>
      </c>
      <c r="D26" s="17">
        <f t="shared" si="3"/>
        <v>10.714285714285714</v>
      </c>
      <c r="E26" s="18">
        <f>0.057143*C26+89.42857</f>
        <v>90.11428599999999</v>
      </c>
      <c r="F26" s="19">
        <f>6.25*(100-D26)*E26/100/100</f>
        <v>5.028698995535715</v>
      </c>
      <c r="G26" s="20">
        <f t="shared" si="1"/>
        <v>4323.902844417175</v>
      </c>
      <c r="H26" s="20">
        <f t="shared" si="0"/>
        <v>519.2808641595407</v>
      </c>
      <c r="I26" s="21">
        <v>0.75</v>
      </c>
      <c r="J26" s="20">
        <f t="shared" si="4"/>
        <v>389.4606481196555</v>
      </c>
      <c r="K26" s="20">
        <f t="shared" si="5"/>
        <v>11683.819443589666</v>
      </c>
      <c r="L26" s="20">
        <f t="shared" si="2"/>
        <v>70102.916661538</v>
      </c>
      <c r="M26" s="20">
        <f t="shared" si="6"/>
        <v>173.45440612024055</v>
      </c>
      <c r="N26" s="22" t="s">
        <v>37</v>
      </c>
    </row>
    <row r="27" spans="1:14" ht="15.75">
      <c r="A27">
        <v>12</v>
      </c>
      <c r="B27" s="31" t="str">
        <f>B26</f>
        <v>Пелети з соломи</v>
      </c>
      <c r="C27" s="23">
        <v>12</v>
      </c>
      <c r="D27" s="24">
        <f t="shared" si="3"/>
        <v>10.714285714285714</v>
      </c>
      <c r="E27" s="25">
        <v>89</v>
      </c>
      <c r="F27" s="26">
        <f>4.3*(100-D27)*E27/100/100</f>
        <v>3.4169642857142857</v>
      </c>
      <c r="G27" s="27">
        <v>3285</v>
      </c>
      <c r="H27" s="27">
        <f t="shared" si="0"/>
        <v>764.218452887379</v>
      </c>
      <c r="I27" s="28">
        <f>I26</f>
        <v>0.75</v>
      </c>
      <c r="J27" s="27">
        <f>H27*I27</f>
        <v>573.1638396655343</v>
      </c>
      <c r="K27" s="27">
        <f>H27*I27*30</f>
        <v>17194.91518996603</v>
      </c>
      <c r="L27" s="27">
        <f t="shared" si="2"/>
        <v>103169.49113979617</v>
      </c>
      <c r="M27" s="27">
        <f>1000000/G27*I27</f>
        <v>228.31050228310502</v>
      </c>
      <c r="N27" s="29" t="s">
        <v>36</v>
      </c>
    </row>
    <row r="28" spans="1:14" ht="15.75">
      <c r="A28">
        <v>13</v>
      </c>
      <c r="B28" s="32" t="s">
        <v>11</v>
      </c>
      <c r="C28" s="32"/>
      <c r="D28" s="32"/>
      <c r="E28" s="33">
        <v>94</v>
      </c>
      <c r="F28" s="34">
        <f>9.31*E28/100</f>
        <v>8.7514</v>
      </c>
      <c r="G28" s="35">
        <f>8001/100*E28</f>
        <v>7520.9400000000005</v>
      </c>
      <c r="H28" s="35">
        <f t="shared" si="0"/>
        <v>298.38736202207645</v>
      </c>
      <c r="I28" s="21">
        <v>2.7</v>
      </c>
      <c r="J28" s="35">
        <f t="shared" si="4"/>
        <v>805.6458774596065</v>
      </c>
      <c r="K28" s="35">
        <f t="shared" si="5"/>
        <v>24169.376323788194</v>
      </c>
      <c r="L28" s="35">
        <f t="shared" si="2"/>
        <v>145016.25794272916</v>
      </c>
      <c r="M28" s="35">
        <f t="shared" si="6"/>
        <v>358.99767848167915</v>
      </c>
      <c r="N28" s="36" t="s">
        <v>39</v>
      </c>
    </row>
    <row r="29" spans="1:14" ht="15.75">
      <c r="A29">
        <v>14</v>
      </c>
      <c r="B29" s="32" t="s">
        <v>3</v>
      </c>
      <c r="C29" s="32"/>
      <c r="D29" s="32"/>
      <c r="E29" s="33">
        <v>75</v>
      </c>
      <c r="F29" s="34">
        <f>7.5/100*E29</f>
        <v>5.625</v>
      </c>
      <c r="G29" s="35">
        <f>6449/100*E29</f>
        <v>4836.75</v>
      </c>
      <c r="H29" s="35">
        <f t="shared" si="0"/>
        <v>464.23238399999997</v>
      </c>
      <c r="I29" s="21">
        <v>1.5</v>
      </c>
      <c r="J29" s="35">
        <f t="shared" si="4"/>
        <v>696.348576</v>
      </c>
      <c r="K29" s="35">
        <f t="shared" si="5"/>
        <v>20890.45728</v>
      </c>
      <c r="L29" s="35">
        <f t="shared" si="2"/>
        <v>125342.74367999999</v>
      </c>
      <c r="M29" s="35">
        <f t="shared" si="6"/>
        <v>310.1256008683517</v>
      </c>
      <c r="N29" s="36" t="s">
        <v>38</v>
      </c>
    </row>
    <row r="30" spans="1:14" ht="15.75">
      <c r="A30">
        <v>15</v>
      </c>
      <c r="B30" s="32" t="s">
        <v>12</v>
      </c>
      <c r="C30" s="32"/>
      <c r="D30" s="32"/>
      <c r="E30" s="33">
        <v>94</v>
      </c>
      <c r="F30" s="34">
        <f>9.31/100*E30</f>
        <v>8.7514</v>
      </c>
      <c r="G30" s="35">
        <f>8001/100*E30</f>
        <v>7520.9400000000005</v>
      </c>
      <c r="H30" s="35">
        <f t="shared" si="0"/>
        <v>298.38736202207645</v>
      </c>
      <c r="I30" s="21">
        <v>4.7</v>
      </c>
      <c r="J30" s="35">
        <f t="shared" si="4"/>
        <v>1402.4206015037594</v>
      </c>
      <c r="K30" s="35">
        <f t="shared" si="5"/>
        <v>42072.61804511278</v>
      </c>
      <c r="L30" s="35">
        <f t="shared" si="2"/>
        <v>252435.70827067667</v>
      </c>
      <c r="M30" s="35">
        <f t="shared" si="6"/>
        <v>624.9218847644044</v>
      </c>
      <c r="N30" s="36" t="s">
        <v>39</v>
      </c>
    </row>
    <row r="31" spans="1:14" ht="15.75">
      <c r="A31">
        <v>16</v>
      </c>
      <c r="B31" s="32" t="s">
        <v>4</v>
      </c>
      <c r="C31" s="32"/>
      <c r="D31" s="32"/>
      <c r="E31" s="33">
        <v>90</v>
      </c>
      <c r="F31" s="34">
        <f>11.94/100*E31</f>
        <v>10.745999999999999</v>
      </c>
      <c r="G31" s="35">
        <f>10270/100*E31</f>
        <v>9243</v>
      </c>
      <c r="H31" s="35">
        <f t="shared" si="0"/>
        <v>243.0027135678392</v>
      </c>
      <c r="I31" s="21">
        <v>10</v>
      </c>
      <c r="J31" s="35">
        <f t="shared" si="4"/>
        <v>2430.027135678392</v>
      </c>
      <c r="K31" s="35">
        <f t="shared" si="5"/>
        <v>72900.81407035176</v>
      </c>
      <c r="L31" s="35">
        <f t="shared" si="2"/>
        <v>437404.8844221105</v>
      </c>
      <c r="M31" s="35">
        <f t="shared" si="6"/>
        <v>1081.8998160770313</v>
      </c>
      <c r="N31" s="36" t="s">
        <v>40</v>
      </c>
    </row>
    <row r="32" spans="1:14" ht="16.5" thickBot="1">
      <c r="A32">
        <v>17</v>
      </c>
      <c r="B32" s="32" t="s">
        <v>13</v>
      </c>
      <c r="C32" s="32"/>
      <c r="D32" s="32"/>
      <c r="E32" s="32"/>
      <c r="F32" s="32"/>
      <c r="G32" s="32"/>
      <c r="H32" s="35">
        <f>C12*24</f>
        <v>2611.30716</v>
      </c>
      <c r="I32" s="21">
        <v>0.96</v>
      </c>
      <c r="J32" s="35">
        <f>H32*I32</f>
        <v>2506.8548736</v>
      </c>
      <c r="K32" s="35">
        <f>J32*30</f>
        <v>75205.64620799999</v>
      </c>
      <c r="L32" s="35">
        <f t="shared" si="2"/>
        <v>451233.87724799995</v>
      </c>
      <c r="M32" s="35">
        <f>1163*I32</f>
        <v>1116.48</v>
      </c>
      <c r="N32" s="37">
        <v>0</v>
      </c>
    </row>
    <row r="33" spans="5:14" ht="12.75"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15.75">
      <c r="B35" s="94" t="s">
        <v>42</v>
      </c>
      <c r="C35" s="94"/>
      <c r="D35" s="94"/>
      <c r="E35" s="94"/>
      <c r="F35" s="94"/>
      <c r="G35" s="94"/>
      <c r="H35" s="7"/>
      <c r="I35" s="7"/>
      <c r="J35" s="7"/>
      <c r="K35" s="7"/>
      <c r="L35" s="7"/>
      <c r="M35" s="7"/>
      <c r="N35" s="7"/>
    </row>
    <row r="36" spans="2:14" ht="12.75">
      <c r="B36" s="93" t="s">
        <v>41</v>
      </c>
      <c r="C36" s="93"/>
      <c r="D36" s="93"/>
      <c r="E36" s="93"/>
      <c r="F36" s="93"/>
      <c r="G36" s="93"/>
      <c r="H36" s="7"/>
      <c r="I36" s="7"/>
      <c r="J36" s="7"/>
      <c r="K36" s="7"/>
      <c r="L36" s="7"/>
      <c r="M36" s="7"/>
      <c r="N36" s="7"/>
    </row>
    <row r="37" spans="2:14" ht="12.75">
      <c r="B37" s="3"/>
      <c r="C37" s="3"/>
      <c r="D37" s="3"/>
      <c r="E37" s="3"/>
      <c r="F37" s="3"/>
      <c r="G37" s="3"/>
      <c r="H37" s="7"/>
      <c r="I37" s="7"/>
      <c r="J37" s="7"/>
      <c r="K37" s="7"/>
      <c r="L37" s="7"/>
      <c r="M37" s="7"/>
      <c r="N37" s="7"/>
    </row>
    <row r="38" spans="2:14" ht="12.75">
      <c r="B38" s="3"/>
      <c r="C38" s="3"/>
      <c r="D38" s="3"/>
      <c r="E38" s="3"/>
      <c r="F38" s="3"/>
      <c r="G38" s="3"/>
      <c r="H38" s="7"/>
      <c r="I38" s="7"/>
      <c r="J38" s="7"/>
      <c r="K38" s="7"/>
      <c r="L38" s="7"/>
      <c r="M38" s="7"/>
      <c r="N38" s="7"/>
    </row>
    <row r="39" spans="2:14" ht="12.75">
      <c r="B39" s="3"/>
      <c r="C39" s="3"/>
      <c r="D39" s="3"/>
      <c r="E39" s="3"/>
      <c r="F39" s="3"/>
      <c r="G39" s="3"/>
      <c r="H39" s="7"/>
      <c r="I39" s="7"/>
      <c r="J39" s="7"/>
      <c r="K39" s="7"/>
      <c r="L39" s="7"/>
      <c r="M39" s="7"/>
      <c r="N39" s="7"/>
    </row>
    <row r="40" spans="2:7" ht="12.75">
      <c r="B40" s="3"/>
      <c r="C40" s="3"/>
      <c r="D40" s="3"/>
      <c r="E40" s="3"/>
      <c r="F40" s="3"/>
      <c r="G40" s="3"/>
    </row>
    <row r="41" spans="2:7" ht="12.75">
      <c r="B41" s="3"/>
      <c r="C41" s="3"/>
      <c r="D41" s="3"/>
      <c r="E41" s="3"/>
      <c r="F41" s="3"/>
      <c r="G41" s="3"/>
    </row>
    <row r="42" spans="2:7" ht="12.75">
      <c r="B42" s="3"/>
      <c r="C42" s="3"/>
      <c r="D42" s="3"/>
      <c r="E42" s="3"/>
      <c r="F42" s="3"/>
      <c r="G42" s="3"/>
    </row>
    <row r="43" spans="2:7" ht="12.75">
      <c r="B43" s="3"/>
      <c r="C43" s="3"/>
      <c r="D43" s="3"/>
      <c r="E43" s="3"/>
      <c r="F43" s="3"/>
      <c r="G43" s="3"/>
    </row>
    <row r="44" spans="2:7" ht="12.75">
      <c r="B44" s="3"/>
      <c r="C44" s="3"/>
      <c r="D44" s="3"/>
      <c r="E44" s="3"/>
      <c r="F44" s="3"/>
      <c r="G44" s="3"/>
    </row>
    <row r="58" spans="2:15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5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2:15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8.75">
      <c r="B62" s="7"/>
      <c r="C62" s="7"/>
      <c r="D62" s="7"/>
      <c r="E62" s="7"/>
      <c r="F62" s="13"/>
      <c r="G62" s="7"/>
      <c r="H62" s="7"/>
      <c r="I62" s="7"/>
      <c r="J62" s="7"/>
      <c r="K62" s="7"/>
      <c r="L62" s="7"/>
      <c r="M62" s="7"/>
      <c r="N62" s="7"/>
      <c r="O62" s="7"/>
    </row>
    <row r="63" spans="2:15" ht="18.75">
      <c r="B63" s="7"/>
      <c r="C63" s="7"/>
      <c r="D63" s="7"/>
      <c r="E63" s="7"/>
      <c r="F63" s="13"/>
      <c r="G63" s="7"/>
      <c r="H63" s="7"/>
      <c r="I63" s="7"/>
      <c r="J63" s="7"/>
      <c r="K63" s="7"/>
      <c r="L63" s="7"/>
      <c r="M63" s="7"/>
      <c r="N63" s="7"/>
      <c r="O63" s="7"/>
    </row>
    <row r="64" spans="2:15" ht="12.75">
      <c r="B64" s="7"/>
      <c r="C64" s="7"/>
      <c r="D64" s="7"/>
      <c r="E64" s="7"/>
      <c r="F64" s="7"/>
      <c r="G64" s="7"/>
      <c r="H64" s="7"/>
      <c r="N64" s="7"/>
      <c r="O64" s="7"/>
    </row>
    <row r="65" spans="2:15" ht="12.75">
      <c r="B65" s="7"/>
      <c r="C65" s="7"/>
      <c r="D65" s="7"/>
      <c r="E65" s="7"/>
      <c r="F65" s="7"/>
      <c r="G65" s="7"/>
      <c r="N65" s="7"/>
      <c r="O65" s="7"/>
    </row>
    <row r="66" spans="2:15" ht="12.75">
      <c r="B66" s="81" t="s">
        <v>70</v>
      </c>
      <c r="C66" s="82"/>
      <c r="D66" s="82"/>
      <c r="E66" s="82"/>
      <c r="F66" s="82"/>
      <c r="G66" s="82"/>
      <c r="H66" s="82"/>
      <c r="I66" s="7"/>
      <c r="J66" s="7"/>
      <c r="K66" s="7"/>
      <c r="L66" s="7"/>
      <c r="M66" s="7"/>
      <c r="N66" s="7"/>
      <c r="O66" s="7"/>
    </row>
    <row r="67" spans="2:15" ht="14.25">
      <c r="B67" s="6"/>
      <c r="C67" s="6"/>
      <c r="D67" s="6"/>
      <c r="E67" s="6"/>
      <c r="F67" s="6"/>
      <c r="G67" s="6"/>
      <c r="H67" s="6"/>
      <c r="I67" t="s">
        <v>34</v>
      </c>
      <c r="J67" s="7"/>
      <c r="K67" s="7"/>
      <c r="L67" s="7"/>
      <c r="M67" s="42" t="s">
        <v>35</v>
      </c>
      <c r="N67" s="7"/>
      <c r="O67" s="7"/>
    </row>
    <row r="68" spans="2:15" ht="12.75">
      <c r="B68" s="80" t="s">
        <v>45</v>
      </c>
      <c r="C68" s="79" t="s">
        <v>46</v>
      </c>
      <c r="D68" s="79"/>
      <c r="E68" s="79"/>
      <c r="F68" s="79"/>
      <c r="G68" s="6"/>
      <c r="H68" s="6"/>
      <c r="I68" s="7"/>
      <c r="J68" s="7"/>
      <c r="K68" s="7"/>
      <c r="L68" s="7"/>
      <c r="M68" s="7"/>
      <c r="N68" s="7"/>
      <c r="O68" s="7"/>
    </row>
    <row r="69" spans="2:15" ht="40.5" customHeight="1">
      <c r="B69" s="80"/>
      <c r="C69" s="49" t="s">
        <v>48</v>
      </c>
      <c r="D69" s="49" t="s">
        <v>49</v>
      </c>
      <c r="E69" s="49" t="s">
        <v>63</v>
      </c>
      <c r="F69" s="49" t="s">
        <v>64</v>
      </c>
      <c r="G69" s="6"/>
      <c r="H69" s="6"/>
      <c r="I69" s="7"/>
      <c r="J69" s="7"/>
      <c r="K69" s="7"/>
      <c r="L69" s="7"/>
      <c r="M69" s="7"/>
      <c r="N69" s="7"/>
      <c r="O69" s="7"/>
    </row>
    <row r="70" spans="2:15" ht="27" customHeight="1">
      <c r="B70" s="39" t="s">
        <v>47</v>
      </c>
      <c r="C70" s="39">
        <v>600</v>
      </c>
      <c r="D70" s="39">
        <v>7500</v>
      </c>
      <c r="E70" s="40" t="s">
        <v>50</v>
      </c>
      <c r="F70" s="40" t="s">
        <v>50</v>
      </c>
      <c r="G70" s="6"/>
      <c r="H70" s="6"/>
      <c r="I70" s="7"/>
      <c r="J70" s="7"/>
      <c r="K70" s="7"/>
      <c r="L70" s="7"/>
      <c r="M70" s="7"/>
      <c r="N70" s="7"/>
      <c r="O70" s="7"/>
    </row>
    <row r="71" spans="2:15" ht="12.75">
      <c r="B71" s="41" t="s">
        <v>51</v>
      </c>
      <c r="C71" s="41">
        <v>300</v>
      </c>
      <c r="D71" s="41">
        <v>1000</v>
      </c>
      <c r="E71" s="41"/>
      <c r="F71" s="41"/>
      <c r="G71" s="6"/>
      <c r="H71" s="6"/>
      <c r="I71" s="7"/>
      <c r="J71" s="7"/>
      <c r="K71" s="7"/>
      <c r="L71" s="7"/>
      <c r="M71" s="7"/>
      <c r="N71" s="7"/>
      <c r="O71" s="7"/>
    </row>
    <row r="72" spans="2:15" ht="12.75">
      <c r="B72" s="41" t="s">
        <v>52</v>
      </c>
      <c r="C72" s="41">
        <v>150</v>
      </c>
      <c r="D72" s="41">
        <v>750</v>
      </c>
      <c r="E72" s="41">
        <v>500</v>
      </c>
      <c r="F72" s="41">
        <v>800</v>
      </c>
      <c r="G72" s="6"/>
      <c r="H72" s="6"/>
      <c r="I72" s="7"/>
      <c r="J72" s="7"/>
      <c r="K72" s="7"/>
      <c r="L72" s="7"/>
      <c r="M72" s="7"/>
      <c r="N72" s="7"/>
      <c r="O72" s="7"/>
    </row>
    <row r="73" spans="2:15" ht="12.75">
      <c r="B73" s="41" t="s">
        <v>53</v>
      </c>
      <c r="C73" s="41">
        <v>100</v>
      </c>
      <c r="D73" s="41">
        <v>500</v>
      </c>
      <c r="E73" s="41">
        <v>500</v>
      </c>
      <c r="F73" s="41">
        <v>600</v>
      </c>
      <c r="G73" s="6"/>
      <c r="H73" s="6"/>
      <c r="I73" s="7"/>
      <c r="J73" s="7"/>
      <c r="K73" s="7"/>
      <c r="L73" s="7"/>
      <c r="M73" s="7"/>
      <c r="N73" s="7"/>
      <c r="O73" s="7"/>
    </row>
    <row r="74" spans="2:15" ht="12.75">
      <c r="B74" s="41" t="s">
        <v>54</v>
      </c>
      <c r="C74" s="41">
        <v>50</v>
      </c>
      <c r="D74" s="41">
        <v>500</v>
      </c>
      <c r="E74" s="41">
        <v>400</v>
      </c>
      <c r="F74" s="41">
        <v>200</v>
      </c>
      <c r="G74" s="6"/>
      <c r="H74" s="6"/>
      <c r="I74" s="7"/>
      <c r="J74" s="7"/>
      <c r="K74" s="7"/>
      <c r="L74" s="7"/>
      <c r="M74" s="7"/>
      <c r="N74" s="7"/>
      <c r="O74" s="7"/>
    </row>
    <row r="75" spans="2:15" ht="12.75"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7"/>
    </row>
    <row r="76" spans="2:1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5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</sheetData>
  <sheetProtection selectLockedCells="1"/>
  <mergeCells count="24">
    <mergeCell ref="B1:J1"/>
    <mergeCell ref="K1:N1"/>
    <mergeCell ref="M13:M14"/>
    <mergeCell ref="N13:N14"/>
    <mergeCell ref="C13:C14"/>
    <mergeCell ref="D13:D14"/>
    <mergeCell ref="J13:L13"/>
    <mergeCell ref="I13:I14"/>
    <mergeCell ref="H13:H14"/>
    <mergeCell ref="J2:N6"/>
    <mergeCell ref="B36:G36"/>
    <mergeCell ref="B35:G35"/>
    <mergeCell ref="F13:G13"/>
    <mergeCell ref="E13:E14"/>
    <mergeCell ref="C8:D8"/>
    <mergeCell ref="B13:B14"/>
    <mergeCell ref="C10:D10"/>
    <mergeCell ref="C11:D11"/>
    <mergeCell ref="C9:D9"/>
    <mergeCell ref="C68:F68"/>
    <mergeCell ref="B68:B69"/>
    <mergeCell ref="B66:H66"/>
    <mergeCell ref="C12:D12"/>
    <mergeCell ref="E8:L11"/>
  </mergeCells>
  <dataValidations count="5">
    <dataValidation type="whole" allowBlank="1" showInputMessage="1" showErrorMessage="1" prompt="Діапазон від 0 до 30" sqref="C9:D9">
      <formula1>0</formula1>
      <formula2>30</formula2>
    </dataValidation>
    <dataValidation type="whole" allowBlank="1" showInputMessage="1" showErrorMessage="1" prompt="Діапазон від -30 до +10" sqref="C10:D10">
      <formula1>-30</formula1>
      <formula2>10</formula2>
    </dataValidation>
    <dataValidation type="whole" allowBlank="1" showInputMessage="1" showErrorMessage="1" sqref="C8:D8">
      <formula1>100</formula1>
      <formula2>100000</formula2>
    </dataValidation>
    <dataValidation type="whole" allowBlank="1" showInputMessage="1" showErrorMessage="1" sqref="C16 C20 C18">
      <formula1>5</formula1>
      <formula2>90</formula2>
    </dataValidation>
    <dataValidation type="decimal" allowBlank="1" showInputMessage="1" showErrorMessage="1" sqref="I16 I28:I32 I26 I24 I22 I20 I18">
      <formula1>0</formula1>
      <formula2>20</formula2>
    </dataValidation>
  </dataValidations>
  <hyperlinks>
    <hyperlink ref="M67" r:id="rId1" display="Джерело"/>
  </hyperlinks>
  <printOptions/>
  <pageMargins left="0.3937007874015748" right="0.1968503937007874" top="0.1968503937007874" bottom="0.1968503937007874" header="0.5118110236220472" footer="0.5118110236220472"/>
  <pageSetup fitToHeight="2" horizontalDpi="300" verticalDpi="300" orientation="landscape" paperSize="9" scale="78" r:id="rId3"/>
  <rowBreaks count="1" manualBreakCount="1">
    <brk id="34" max="13" man="1"/>
  </rowBreaks>
  <ignoredErrors>
    <ignoredError sqref="E23 G29 E17:F17 E19:F19 E21:F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B1">
      <selection activeCell="F10" sqref="F10"/>
    </sheetView>
  </sheetViews>
  <sheetFormatPr defaultColWidth="9.00390625" defaultRowHeight="12.75"/>
  <cols>
    <col min="1" max="1" width="20.625" style="0" customWidth="1"/>
    <col min="2" max="2" width="11.75390625" style="0" customWidth="1"/>
    <col min="3" max="3" width="10.625" style="0" bestFit="1" customWidth="1"/>
    <col min="4" max="4" width="10.25390625" style="0" bestFit="1" customWidth="1"/>
    <col min="5" max="5" width="12.00390625" style="0" bestFit="1" customWidth="1"/>
    <col min="6" max="6" width="13.875" style="0" bestFit="1" customWidth="1"/>
    <col min="8" max="8" width="11.375" style="0" bestFit="1" customWidth="1"/>
    <col min="9" max="9" width="15.875" style="0" customWidth="1"/>
    <col min="10" max="10" width="19.75390625" style="0" bestFit="1" customWidth="1"/>
  </cols>
  <sheetData>
    <row r="1" spans="1:12" s="10" customFormat="1" ht="12.75">
      <c r="A1" s="10" t="s">
        <v>19</v>
      </c>
      <c r="B1" s="10" t="s">
        <v>21</v>
      </c>
      <c r="C1" s="10" t="s">
        <v>20</v>
      </c>
      <c r="D1" s="10" t="s">
        <v>22</v>
      </c>
      <c r="E1" s="10" t="s">
        <v>23</v>
      </c>
      <c r="F1" s="10" t="s">
        <v>24</v>
      </c>
      <c r="H1" s="10" t="s">
        <v>26</v>
      </c>
      <c r="I1" s="10" t="s">
        <v>93</v>
      </c>
      <c r="J1" s="10" t="s">
        <v>67</v>
      </c>
      <c r="K1" s="10" t="s">
        <v>33</v>
      </c>
      <c r="L1" s="10" t="s">
        <v>33</v>
      </c>
    </row>
    <row r="2" spans="1:9" ht="12.75">
      <c r="A2" s="11">
        <v>37937</v>
      </c>
      <c r="B2" t="s">
        <v>18</v>
      </c>
      <c r="C2">
        <v>18.5</v>
      </c>
      <c r="D2">
        <v>53.46</v>
      </c>
      <c r="E2">
        <v>88.2</v>
      </c>
      <c r="F2">
        <v>88.3</v>
      </c>
      <c r="H2" s="12">
        <v>10</v>
      </c>
      <c r="I2" s="12">
        <v>90</v>
      </c>
    </row>
    <row r="3" spans="1:9" ht="12.75">
      <c r="A3" s="11"/>
      <c r="H3" s="12">
        <v>30</v>
      </c>
      <c r="I3" s="12">
        <v>91</v>
      </c>
    </row>
    <row r="4" spans="1:9" ht="12.75">
      <c r="A4" s="11"/>
      <c r="H4" s="12">
        <v>60</v>
      </c>
      <c r="I4" s="12">
        <v>92</v>
      </c>
    </row>
    <row r="5" spans="1:9" ht="12.75">
      <c r="A5" s="11"/>
      <c r="H5" s="12">
        <v>90</v>
      </c>
      <c r="I5" s="12">
        <v>94</v>
      </c>
    </row>
    <row r="6" spans="2:9" ht="12.75">
      <c r="B6" t="s">
        <v>18</v>
      </c>
      <c r="C6">
        <v>37.5</v>
      </c>
      <c r="D6">
        <v>55.56</v>
      </c>
      <c r="E6">
        <v>85.2</v>
      </c>
      <c r="F6">
        <v>86.5</v>
      </c>
      <c r="H6" s="12">
        <v>150</v>
      </c>
      <c r="I6" s="12">
        <v>98</v>
      </c>
    </row>
    <row r="7" spans="1:9" ht="12.75">
      <c r="A7" s="11">
        <v>39519</v>
      </c>
      <c r="B7" t="s">
        <v>18</v>
      </c>
      <c r="C7">
        <v>37.8</v>
      </c>
      <c r="D7">
        <v>49.5</v>
      </c>
      <c r="E7">
        <v>88.9</v>
      </c>
      <c r="F7">
        <v>89.9</v>
      </c>
      <c r="H7">
        <v>170</v>
      </c>
      <c r="I7">
        <v>60</v>
      </c>
    </row>
    <row r="8" spans="2:10" ht="12.75">
      <c r="B8" t="s">
        <v>18</v>
      </c>
      <c r="C8">
        <v>57.4</v>
      </c>
      <c r="D8">
        <v>45.06</v>
      </c>
      <c r="E8">
        <v>90.3</v>
      </c>
      <c r="F8">
        <v>90.1</v>
      </c>
      <c r="H8" s="3">
        <v>30</v>
      </c>
      <c r="J8" s="3">
        <v>84.9</v>
      </c>
    </row>
    <row r="9" spans="1:10" ht="12.75">
      <c r="A9" s="11">
        <v>40000</v>
      </c>
      <c r="B9" t="s">
        <v>25</v>
      </c>
      <c r="C9">
        <v>59.2</v>
      </c>
      <c r="D9">
        <v>67.7</v>
      </c>
      <c r="E9">
        <v>103.3</v>
      </c>
      <c r="H9">
        <v>40</v>
      </c>
      <c r="J9">
        <v>80.6</v>
      </c>
    </row>
    <row r="10" spans="1:10" ht="12.75">
      <c r="A10" s="11">
        <v>38544</v>
      </c>
      <c r="B10" t="s">
        <v>18</v>
      </c>
      <c r="C10">
        <v>62</v>
      </c>
      <c r="D10">
        <v>76.7</v>
      </c>
      <c r="E10">
        <v>107.6</v>
      </c>
      <c r="F10">
        <v>88.1</v>
      </c>
      <c r="H10">
        <v>45</v>
      </c>
      <c r="J10">
        <v>73.7</v>
      </c>
    </row>
    <row r="11" spans="8:10" ht="12.75">
      <c r="H11" s="3">
        <v>50</v>
      </c>
      <c r="J11" s="3">
        <v>71.4</v>
      </c>
    </row>
    <row r="12" spans="8:16" ht="12.75">
      <c r="H12" s="3">
        <v>60</v>
      </c>
      <c r="J12" s="3">
        <v>49.2</v>
      </c>
      <c r="N12" s="12" t="s">
        <v>27</v>
      </c>
      <c r="O12" s="12">
        <f>(I6-I2)/(H6-H2)</f>
        <v>0.05714285714285714</v>
      </c>
      <c r="P12" s="12"/>
    </row>
    <row r="13" spans="8:16" ht="12.75">
      <c r="N13" s="12" t="s">
        <v>28</v>
      </c>
      <c r="O13" s="12">
        <f>I6-O12*H6</f>
        <v>89.42857142857143</v>
      </c>
      <c r="P13" s="12"/>
    </row>
    <row r="14" spans="8:16" ht="12.75">
      <c r="H14" s="9">
        <v>10</v>
      </c>
      <c r="K14" s="9">
        <v>90</v>
      </c>
      <c r="N14" s="12">
        <v>90</v>
      </c>
      <c r="O14" s="12">
        <f>N14*O12+O13</f>
        <v>94.57142857142857</v>
      </c>
      <c r="P14" s="12" t="s">
        <v>29</v>
      </c>
    </row>
    <row r="15" spans="8:11" ht="12.75">
      <c r="H15" s="9">
        <v>50</v>
      </c>
      <c r="K15" s="9">
        <v>71.4</v>
      </c>
    </row>
    <row r="16" spans="2:16" ht="12.75">
      <c r="B16" t="s">
        <v>73</v>
      </c>
      <c r="H16" s="3">
        <v>80</v>
      </c>
      <c r="L16" s="3">
        <v>0</v>
      </c>
      <c r="M16" t="s">
        <v>30</v>
      </c>
      <c r="N16" s="12" t="s">
        <v>27</v>
      </c>
      <c r="O16" s="12">
        <f>(K15-K14)/(H15-H14)</f>
        <v>-0.46499999999999986</v>
      </c>
      <c r="P16" s="12"/>
    </row>
    <row r="17" spans="2:16" ht="12.75">
      <c r="B17" t="s">
        <v>74</v>
      </c>
      <c r="C17">
        <f>MATCH(Лист1!C8,Лист3!A1:A40,1)</f>
        <v>23</v>
      </c>
      <c r="D17">
        <f>INDEX(Лист3!B1:B40,C17)</f>
        <v>0.45</v>
      </c>
      <c r="H17" s="9">
        <v>50</v>
      </c>
      <c r="L17" s="9">
        <v>71.4</v>
      </c>
      <c r="N17" s="12" t="s">
        <v>28</v>
      </c>
      <c r="O17" s="12">
        <f>J11-O16*H11</f>
        <v>94.65</v>
      </c>
      <c r="P17" s="12"/>
    </row>
    <row r="18" spans="2:16" ht="12.75">
      <c r="B18" t="s">
        <v>76</v>
      </c>
      <c r="C18">
        <v>-25</v>
      </c>
      <c r="N18" s="12">
        <v>50</v>
      </c>
      <c r="O18" s="12">
        <f>N18*O16+O17</f>
        <v>71.4</v>
      </c>
      <c r="P18" s="12" t="s">
        <v>31</v>
      </c>
    </row>
    <row r="19" spans="2:16" ht="12.75">
      <c r="B19" t="s">
        <v>75</v>
      </c>
      <c r="C19">
        <f>MATCH(C18,Лист4!A1:A7,-1)</f>
        <v>6</v>
      </c>
      <c r="D19">
        <f>INDEX(Лист4!B1:B7,C19)</f>
        <v>1.08</v>
      </c>
      <c r="M19" t="s">
        <v>32</v>
      </c>
      <c r="N19" s="12" t="s">
        <v>27</v>
      </c>
      <c r="O19" s="12">
        <f>(J12-J11)/(H12-H11)</f>
        <v>-2.22</v>
      </c>
      <c r="P19" s="12"/>
    </row>
    <row r="20" spans="14:16" ht="12.75">
      <c r="N20" s="12" t="s">
        <v>28</v>
      </c>
      <c r="O20" s="12">
        <f>J12-O19*H12</f>
        <v>182.40000000000003</v>
      </c>
      <c r="P20" s="12"/>
    </row>
    <row r="21" spans="2:16" ht="12.75">
      <c r="B21" t="s">
        <v>77</v>
      </c>
      <c r="H21" t="s">
        <v>43</v>
      </c>
      <c r="I21" t="s">
        <v>44</v>
      </c>
      <c r="N21" s="12">
        <v>70</v>
      </c>
      <c r="O21" s="12">
        <f>N21*O19+O20</f>
        <v>27.00000000000003</v>
      </c>
      <c r="P21" s="12" t="s">
        <v>31</v>
      </c>
    </row>
    <row r="22" spans="2:9" ht="12.75">
      <c r="B22" t="s">
        <v>78</v>
      </c>
      <c r="H22">
        <v>0</v>
      </c>
      <c r="I22">
        <v>90</v>
      </c>
    </row>
    <row r="23" spans="8:9" ht="12.75">
      <c r="H23">
        <v>4400</v>
      </c>
      <c r="I23">
        <v>0</v>
      </c>
    </row>
    <row r="27" spans="8:9" ht="12.75">
      <c r="H27">
        <v>30</v>
      </c>
      <c r="I27">
        <v>84.9</v>
      </c>
    </row>
    <row r="28" spans="8:9" ht="12.75">
      <c r="H28">
        <v>40</v>
      </c>
      <c r="I28">
        <v>80.6</v>
      </c>
    </row>
    <row r="29" spans="8:9" ht="12.75">
      <c r="H29">
        <v>45</v>
      </c>
      <c r="I29">
        <v>73.7</v>
      </c>
    </row>
    <row r="30" spans="8:9" ht="12.75">
      <c r="H30">
        <v>50</v>
      </c>
      <c r="I30">
        <v>71.4</v>
      </c>
    </row>
    <row r="31" spans="8:9" ht="12.75">
      <c r="H31">
        <v>60</v>
      </c>
      <c r="I31">
        <v>49.2</v>
      </c>
    </row>
  </sheetData>
  <sheetProtection password="CA50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1" sqref="A1:B40"/>
    </sheetView>
  </sheetViews>
  <sheetFormatPr defaultColWidth="9.00390625" defaultRowHeight="12.75"/>
  <sheetData>
    <row r="1" spans="1:2" ht="12.75">
      <c r="A1">
        <v>100</v>
      </c>
      <c r="B1">
        <v>0.92</v>
      </c>
    </row>
    <row r="2" spans="1:2" ht="12.75">
      <c r="A2">
        <v>200</v>
      </c>
      <c r="B2">
        <v>0.82</v>
      </c>
    </row>
    <row r="3" spans="1:2" ht="12.75">
      <c r="A3">
        <v>300</v>
      </c>
      <c r="B3">
        <v>0.78</v>
      </c>
    </row>
    <row r="4" spans="1:2" ht="12.75">
      <c r="A4">
        <v>400</v>
      </c>
      <c r="B4">
        <v>0.74</v>
      </c>
    </row>
    <row r="5" spans="1:2" ht="12.75">
      <c r="A5">
        <v>500</v>
      </c>
      <c r="B5">
        <v>0.71</v>
      </c>
    </row>
    <row r="6" spans="1:2" ht="12.75">
      <c r="A6">
        <v>600</v>
      </c>
      <c r="B6">
        <v>0.69</v>
      </c>
    </row>
    <row r="7" spans="1:2" ht="12.75">
      <c r="A7">
        <v>700</v>
      </c>
      <c r="B7">
        <v>0.68</v>
      </c>
    </row>
    <row r="8" spans="1:2" ht="12.75">
      <c r="A8">
        <v>800</v>
      </c>
      <c r="B8">
        <v>0.67</v>
      </c>
    </row>
    <row r="9" spans="1:2" ht="12.75">
      <c r="A9">
        <v>900</v>
      </c>
      <c r="B9">
        <v>0.66</v>
      </c>
    </row>
    <row r="10" spans="1:2" ht="12.75">
      <c r="A10">
        <v>1000</v>
      </c>
      <c r="B10">
        <v>0.65</v>
      </c>
    </row>
    <row r="11" spans="1:2" ht="12.75">
      <c r="A11">
        <v>1100</v>
      </c>
      <c r="B11">
        <v>0.62</v>
      </c>
    </row>
    <row r="12" spans="1:2" ht="12.75">
      <c r="A12">
        <v>1200</v>
      </c>
      <c r="B12">
        <v>0.6</v>
      </c>
    </row>
    <row r="13" spans="1:2" ht="12.75">
      <c r="A13">
        <v>1300</v>
      </c>
      <c r="B13">
        <v>0.59</v>
      </c>
    </row>
    <row r="14" spans="1:2" ht="12.75">
      <c r="A14">
        <v>1400</v>
      </c>
      <c r="B14">
        <v>0.58</v>
      </c>
    </row>
    <row r="15" spans="1:2" ht="12.75">
      <c r="A15">
        <v>1500</v>
      </c>
      <c r="B15">
        <v>0.57</v>
      </c>
    </row>
    <row r="16" spans="1:2" ht="12.75">
      <c r="A16">
        <v>1700</v>
      </c>
      <c r="B16">
        <v>0.55</v>
      </c>
    </row>
    <row r="17" spans="1:2" ht="12.75">
      <c r="A17">
        <v>2000</v>
      </c>
      <c r="B17">
        <v>0.53</v>
      </c>
    </row>
    <row r="18" spans="1:2" ht="12.75">
      <c r="A18">
        <v>2500</v>
      </c>
      <c r="B18">
        <v>0.52</v>
      </c>
    </row>
    <row r="19" spans="1:2" ht="12.75">
      <c r="A19">
        <v>3000</v>
      </c>
      <c r="B19">
        <v>0.5</v>
      </c>
    </row>
    <row r="20" spans="1:2" ht="12.75">
      <c r="A20">
        <v>3500</v>
      </c>
      <c r="B20">
        <v>0.48</v>
      </c>
    </row>
    <row r="21" spans="1:2" ht="12.75">
      <c r="A21">
        <v>4000</v>
      </c>
      <c r="B21">
        <v>0.47</v>
      </c>
    </row>
    <row r="22" spans="1:2" ht="12.75">
      <c r="A22">
        <v>4500</v>
      </c>
      <c r="B22">
        <v>0.46</v>
      </c>
    </row>
    <row r="23" spans="1:2" ht="12.75">
      <c r="A23">
        <v>5000</v>
      </c>
      <c r="B23">
        <v>0.45</v>
      </c>
    </row>
    <row r="24" spans="1:2" ht="12.75">
      <c r="A24">
        <v>6000</v>
      </c>
      <c r="B24">
        <v>0.43</v>
      </c>
    </row>
    <row r="25" spans="1:2" ht="12.75">
      <c r="A25">
        <v>7000</v>
      </c>
      <c r="B25">
        <v>0.42</v>
      </c>
    </row>
    <row r="26" spans="1:2" ht="12.75">
      <c r="A26">
        <v>8000</v>
      </c>
      <c r="B26">
        <v>0.41</v>
      </c>
    </row>
    <row r="27" spans="1:2" ht="12.75">
      <c r="A27">
        <v>9000</v>
      </c>
      <c r="B27">
        <v>0.4</v>
      </c>
    </row>
    <row r="28" spans="1:2" ht="12.75">
      <c r="A28">
        <v>10000</v>
      </c>
      <c r="B28">
        <v>0.39</v>
      </c>
    </row>
    <row r="29" spans="1:2" ht="12.75">
      <c r="A29">
        <v>11000</v>
      </c>
      <c r="B29">
        <v>0.38</v>
      </c>
    </row>
    <row r="30" spans="1:2" ht="12.75">
      <c r="A30">
        <v>12000</v>
      </c>
      <c r="B30">
        <v>0.38</v>
      </c>
    </row>
    <row r="31" spans="1:2" ht="12.75">
      <c r="A31">
        <v>13000</v>
      </c>
      <c r="B31">
        <v>0.37</v>
      </c>
    </row>
    <row r="32" spans="1:2" ht="12.75">
      <c r="A32">
        <v>14000</v>
      </c>
      <c r="B32">
        <v>0.37</v>
      </c>
    </row>
    <row r="33" spans="1:2" ht="12.75">
      <c r="A33">
        <v>15000</v>
      </c>
      <c r="B33">
        <v>0.37</v>
      </c>
    </row>
    <row r="34" spans="1:2" ht="12.75">
      <c r="A34">
        <v>20000</v>
      </c>
      <c r="B34">
        <v>0.37</v>
      </c>
    </row>
    <row r="35" spans="1:2" ht="12.75">
      <c r="A35">
        <v>25000</v>
      </c>
      <c r="B35">
        <v>0.37</v>
      </c>
    </row>
    <row r="36" spans="1:2" ht="12.75">
      <c r="A36">
        <v>30000</v>
      </c>
      <c r="B36">
        <v>0.36</v>
      </c>
    </row>
    <row r="37" spans="1:2" ht="12.75">
      <c r="A37">
        <v>35000</v>
      </c>
      <c r="B37">
        <v>0.35</v>
      </c>
    </row>
    <row r="38" spans="1:2" ht="12.75">
      <c r="A38">
        <v>40000</v>
      </c>
      <c r="B38">
        <v>0.35</v>
      </c>
    </row>
    <row r="39" spans="1:2" ht="12.75">
      <c r="A39">
        <v>45000</v>
      </c>
      <c r="B39">
        <v>0.34</v>
      </c>
    </row>
    <row r="40" spans="1:2" ht="12.75">
      <c r="A40">
        <v>50000</v>
      </c>
      <c r="B40">
        <v>0.34</v>
      </c>
    </row>
  </sheetData>
  <sheetProtection password="CA50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2" ht="12.75">
      <c r="A1">
        <v>0</v>
      </c>
      <c r="B1">
        <v>2.05</v>
      </c>
    </row>
    <row r="2" spans="1:2" ht="12.75">
      <c r="A2">
        <v>-5</v>
      </c>
      <c r="B2">
        <v>1.67</v>
      </c>
    </row>
    <row r="3" spans="1:2" ht="12.75">
      <c r="A3">
        <v>-10</v>
      </c>
      <c r="B3">
        <v>1.45</v>
      </c>
    </row>
    <row r="4" spans="1:2" ht="12.75">
      <c r="A4">
        <v>-15</v>
      </c>
      <c r="B4">
        <v>1.29</v>
      </c>
    </row>
    <row r="5" spans="1:2" ht="12.75">
      <c r="A5">
        <v>-20</v>
      </c>
      <c r="B5">
        <v>1.17</v>
      </c>
    </row>
    <row r="6" spans="1:2" ht="12.75">
      <c r="A6">
        <v>-25</v>
      </c>
      <c r="B6">
        <v>1.08</v>
      </c>
    </row>
    <row r="7" spans="1:2" ht="12.75">
      <c r="A7">
        <v>-30</v>
      </c>
      <c r="B7">
        <v>1</v>
      </c>
    </row>
  </sheetData>
  <sheetProtection password="CA5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Юра</cp:lastModifiedBy>
  <cp:lastPrinted>2013-05-17T08:31:00Z</cp:lastPrinted>
  <dcterms:created xsi:type="dcterms:W3CDTF">2012-07-02T13:33:54Z</dcterms:created>
  <dcterms:modified xsi:type="dcterms:W3CDTF">2016-09-22T08:54:33Z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